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Arbeit\KFA\Waldbrandgefahr\Primaerdaten\"/>
    </mc:Choice>
  </mc:AlternateContent>
  <bookViews>
    <workbookView xWindow="-15" yWindow="-15" windowWidth="24840" windowHeight="12345"/>
  </bookViews>
  <sheets>
    <sheet name="Liste" sheetId="1" r:id="rId1"/>
  </sheets>
  <definedNames>
    <definedName name="_xlnm._FilterDatabase" localSheetId="0" hidden="1">Liste!$A$1:$K$812</definedName>
    <definedName name="_xlnm.Print_Area" localSheetId="0">Liste!$A$1:$K$812</definedName>
    <definedName name="_xlnm.Print_Titles" localSheetId="0">Liste!$1:$1</definedName>
    <definedName name="Liste">Liste!$B$1:$G$1</definedName>
  </definedNames>
  <calcPr calcId="162913"/>
</workbook>
</file>

<file path=xl/calcChain.xml><?xml version="1.0" encoding="utf-8"?>
<calcChain xmlns="http://schemas.openxmlformats.org/spreadsheetml/2006/main">
  <c r="K682" i="1" l="1"/>
  <c r="K681" i="1"/>
  <c r="K680" i="1"/>
  <c r="K566" i="1"/>
  <c r="K172" i="1" l="1"/>
  <c r="K171" i="1"/>
  <c r="K62" i="1"/>
  <c r="K790" i="1" l="1"/>
  <c r="K787" i="1" l="1"/>
  <c r="K783" i="1"/>
  <c r="K812" i="1"/>
  <c r="K254" i="1" l="1"/>
  <c r="K253" i="1"/>
  <c r="K247" i="1"/>
  <c r="K811" i="1" l="1"/>
  <c r="K810" i="1"/>
  <c r="K809" i="1"/>
  <c r="K808" i="1"/>
  <c r="K807" i="1"/>
  <c r="K806" i="1"/>
  <c r="K805" i="1"/>
  <c r="K715" i="1"/>
  <c r="K714" i="1"/>
  <c r="K713" i="1"/>
  <c r="K712" i="1"/>
  <c r="K776" i="1"/>
  <c r="K775" i="1"/>
  <c r="K778" i="1"/>
  <c r="K777" i="1"/>
  <c r="K771" i="1"/>
  <c r="K770" i="1"/>
  <c r="K763" i="1"/>
  <c r="K773" i="1"/>
  <c r="K772" i="1"/>
  <c r="K774" i="1"/>
  <c r="K804" i="1" l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89" i="1"/>
  <c r="K788" i="1"/>
  <c r="K786" i="1"/>
  <c r="K785" i="1"/>
  <c r="K784" i="1"/>
  <c r="K782" i="1"/>
  <c r="K781" i="1"/>
  <c r="K780" i="1"/>
  <c r="K779" i="1"/>
  <c r="K769" i="1"/>
  <c r="K768" i="1"/>
  <c r="K767" i="1"/>
  <c r="K766" i="1"/>
  <c r="K765" i="1"/>
  <c r="K764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2" i="1"/>
  <c r="K251" i="1"/>
  <c r="K250" i="1"/>
  <c r="K249" i="1"/>
  <c r="K248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<sst xmlns="http://schemas.openxmlformats.org/spreadsheetml/2006/main" count="3255" uniqueCount="929">
  <si>
    <t>wer_haengt_auf</t>
  </si>
  <si>
    <t>Ernetschwil</t>
  </si>
  <si>
    <t>Forstrevier Eschenbach-Schmerikon-Ernetschwil</t>
  </si>
  <si>
    <t>St. Gallenkappel</t>
  </si>
  <si>
    <t>Schmerikon</t>
  </si>
  <si>
    <t>Eschenbach (SG)</t>
  </si>
  <si>
    <t>Dritte, Sportbahnen</t>
  </si>
  <si>
    <t>Dritte, Schiessplatz</t>
  </si>
  <si>
    <t>Goldingen</t>
  </si>
  <si>
    <t>Gemeindeverwaltung</t>
  </si>
  <si>
    <t>Gommiswald</t>
  </si>
  <si>
    <t>Forstrevier Gommiswald-Rieden</t>
  </si>
  <si>
    <t>Rieden</t>
  </si>
  <si>
    <t>Rapperswil-Jona</t>
  </si>
  <si>
    <t>Kaltbrunn</t>
  </si>
  <si>
    <t>Forstrevier Benken-Schänis Süd-Uznach</t>
  </si>
  <si>
    <t>Forstrevier Kaltbrunn-Schänis Nord</t>
  </si>
  <si>
    <t>Schänis</t>
  </si>
  <si>
    <t>Uznach</t>
  </si>
  <si>
    <t>Benken (SG)</t>
  </si>
  <si>
    <t>Weesen</t>
  </si>
  <si>
    <t>Amden</t>
  </si>
  <si>
    <t>Forstrevier Amden-Weesen</t>
  </si>
  <si>
    <t>Lütisburg</t>
  </si>
  <si>
    <t>Forstrevier Magdenau</t>
  </si>
  <si>
    <t>Kirchberg (SG)</t>
  </si>
  <si>
    <t>Forstrevier Kirchberg</t>
  </si>
  <si>
    <t>Eggersriet</t>
  </si>
  <si>
    <t>Rorschacherberg</t>
  </si>
  <si>
    <t>Goldach</t>
  </si>
  <si>
    <t>Untereggen</t>
  </si>
  <si>
    <t>Steinach</t>
  </si>
  <si>
    <t>Gaiserwald</t>
  </si>
  <si>
    <t>Forstrevier Tannenberg</t>
  </si>
  <si>
    <t>Andwil (SG)</t>
  </si>
  <si>
    <t>Waldkirch</t>
  </si>
  <si>
    <t>Niederbüren</t>
  </si>
  <si>
    <t>Forstrevier Oberbüren</t>
  </si>
  <si>
    <t>Oberbüren</t>
  </si>
  <si>
    <t>Niederhelfenschwil</t>
  </si>
  <si>
    <t>Degersheim</t>
  </si>
  <si>
    <t>Forstrevier Flawil</t>
  </si>
  <si>
    <t>Flawil</t>
  </si>
  <si>
    <t>Oberuzwil</t>
  </si>
  <si>
    <t>Jonschwil</t>
  </si>
  <si>
    <t>Forstrevier Uzwil</t>
  </si>
  <si>
    <t>Zuzwil (SG)</t>
  </si>
  <si>
    <t>Bronschhofen</t>
  </si>
  <si>
    <t>Uzwil</t>
  </si>
  <si>
    <t>Forstrevier St.Gallen</t>
  </si>
  <si>
    <t>Forstrevier Gossau</t>
  </si>
  <si>
    <t>Gossau (SG)</t>
  </si>
  <si>
    <t>Wittenbach</t>
  </si>
  <si>
    <t>Neckertal</t>
  </si>
  <si>
    <t>Wildhaus-Alt St. Johann</t>
  </si>
  <si>
    <t>Forstrevier Churfirsten</t>
  </si>
  <si>
    <t>Nesslau-Krummenau</t>
  </si>
  <si>
    <t>Forstrevier Speer</t>
  </si>
  <si>
    <t>Stein (SG)</t>
  </si>
  <si>
    <t>Forstrevier Stockberg</t>
  </si>
  <si>
    <t>Oberhelfenschwil</t>
  </si>
  <si>
    <t>Forstrevier Lichtensteig</t>
  </si>
  <si>
    <t>Wattwil</t>
  </si>
  <si>
    <t>Lichtensteig</t>
  </si>
  <si>
    <t>Krinau</t>
  </si>
  <si>
    <t>Mosnang</t>
  </si>
  <si>
    <t>Forstrevier Wattwil</t>
  </si>
  <si>
    <t>Ebnat-Kappel</t>
  </si>
  <si>
    <t>Forstrevier Ebnat-Kappel</t>
  </si>
  <si>
    <t>Hemberg</t>
  </si>
  <si>
    <t>Bütschwil</t>
  </si>
  <si>
    <t>Ganterschwil</t>
  </si>
  <si>
    <t>Forstrevier Mosnang</t>
  </si>
  <si>
    <t>Pfäfers</t>
  </si>
  <si>
    <t>Forstrevier Vättis-Pfäfers</t>
  </si>
  <si>
    <t>Bad Ragaz</t>
  </si>
  <si>
    <t>Forstrevier FB Tamina</t>
  </si>
  <si>
    <t>Forstrevier Valens-Vasön-Bad Ragaz</t>
  </si>
  <si>
    <t>Vilters-Wangs</t>
  </si>
  <si>
    <t>Forstrevier Vilters-Wangs</t>
  </si>
  <si>
    <t>Mels</t>
  </si>
  <si>
    <t>Forstrevier OG Mels</t>
  </si>
  <si>
    <t>Sargans</t>
  </si>
  <si>
    <t>Forstrevier Rüthi-Lienz</t>
  </si>
  <si>
    <t>Forstrevier Sargans-Weisstannen</t>
  </si>
  <si>
    <t>Flums</t>
  </si>
  <si>
    <t>Forstrevier OG Murg-Flums Grossberg</t>
  </si>
  <si>
    <t>Forstrevier Flums-Dorf</t>
  </si>
  <si>
    <t>Walenstadt</t>
  </si>
  <si>
    <t>Forstrevier Walenstadt-Berschis</t>
  </si>
  <si>
    <t>Quarten</t>
  </si>
  <si>
    <t>Forstrevier Quarten</t>
  </si>
  <si>
    <t>Forstrevier Murg-Flums Kleinberg</t>
  </si>
  <si>
    <t>Thal</t>
  </si>
  <si>
    <t>Rheineck</t>
  </si>
  <si>
    <t>St. Margrethen</t>
  </si>
  <si>
    <t>Au (SG)</t>
  </si>
  <si>
    <t>Berneck</t>
  </si>
  <si>
    <t>Diepoldsau</t>
  </si>
  <si>
    <t>Balgach</t>
  </si>
  <si>
    <t>Rebstein</t>
  </si>
  <si>
    <t>Marbach (SG)</t>
  </si>
  <si>
    <t>Altstätten</t>
  </si>
  <si>
    <t>Forstrevier Altstätten-Eichberg</t>
  </si>
  <si>
    <t>Eichberg</t>
  </si>
  <si>
    <t>Forstrevier Oberriet</t>
  </si>
  <si>
    <t>Oberriet</t>
  </si>
  <si>
    <t>Rüthi (SG)</t>
  </si>
  <si>
    <t>Sennwald</t>
  </si>
  <si>
    <t>Gams</t>
  </si>
  <si>
    <t>Grabs</t>
  </si>
  <si>
    <t>Buchs (SG)</t>
  </si>
  <si>
    <t>Forstrevier Grabs-Buchs-Sevelen (A.G.)</t>
  </si>
  <si>
    <t>Sevelen</t>
  </si>
  <si>
    <t>Forstrevier Grabs-Buchs-Sevelen (P.B.)</t>
  </si>
  <si>
    <t>Hinter Schümbergstrasse</t>
  </si>
  <si>
    <t>Hinter Bildhus</t>
  </si>
  <si>
    <t>Föhrenwäldli</t>
  </si>
  <si>
    <t>Döltsch Uznaberg</t>
  </si>
  <si>
    <t>Döltsch Ostseite</t>
  </si>
  <si>
    <t>Döltsch Höhenweg</t>
  </si>
  <si>
    <t>Bürgital</t>
  </si>
  <si>
    <t>Eschenbacherstrasse</t>
  </si>
  <si>
    <t>Balmen</t>
  </si>
  <si>
    <t>Letzi</t>
  </si>
  <si>
    <t>Chlausenhöchi</t>
  </si>
  <si>
    <t>Gibelsriet</t>
  </si>
  <si>
    <t>Oberegg</t>
  </si>
  <si>
    <t>Honeggstrasse Ermenswil</t>
  </si>
  <si>
    <t>Betriebsgebäude</t>
  </si>
  <si>
    <t>Anschlag Chalet Unterkunft</t>
  </si>
  <si>
    <t>Eich Parkplatz</t>
  </si>
  <si>
    <t>Steinen Hütte</t>
  </si>
  <si>
    <t>Waldzugang Oberwald Moos</t>
  </si>
  <si>
    <t>Rastplatz Aspwald</t>
  </si>
  <si>
    <t>Rastplatz Risi</t>
  </si>
  <si>
    <t>Rastplatz Oberwald Moosstrasse</t>
  </si>
  <si>
    <t>Rastplatz Ochsenplatz</t>
  </si>
  <si>
    <t>Rastplatz Alte Pflanzgartenhütte</t>
  </si>
  <si>
    <t>Rastplatz Verbindungsweg</t>
  </si>
  <si>
    <t>Rastplatz Joes Hütte</t>
  </si>
  <si>
    <t>Waldzugang Oberwald bei Parkplatz nahe Helbling Hansruedi</t>
  </si>
  <si>
    <t>Waldzugang Oberwald bei Steinweg</t>
  </si>
  <si>
    <t>Waldzugang Oberwald Moostrasse zu Hüttenweg</t>
  </si>
  <si>
    <t>Waldzugang Prügelweg bei Lagerplatz Salet Buechmatt</t>
  </si>
  <si>
    <t>Waldzugang Gertswisweg bei Lagerplatz Salet Buechmatt</t>
  </si>
  <si>
    <t>Waldzugang Oberwald bei Erlenbrücke</t>
  </si>
  <si>
    <t>Waldzugang Oberwald bei Ankelöchli</t>
  </si>
  <si>
    <t>Waldzugang Oberwald bei Leeholz</t>
  </si>
  <si>
    <t>Waldzugang Oberwald bei Eichliriet</t>
  </si>
  <si>
    <t>Waldzugang Hummelberg zu Langägeten</t>
  </si>
  <si>
    <t>Rastplatz Langägeten</t>
  </si>
  <si>
    <t>Waldzugang Curtiberg zu Jonerholz</t>
  </si>
  <si>
    <t>Waldzugang Tägernauer-Höchi zu Lanmoos</t>
  </si>
  <si>
    <t>Waldzugang Tägernauer-Höchi zu Langriet</t>
  </si>
  <si>
    <t>Waldzugang von Tägernaustrasse zu Sommenberg</t>
  </si>
  <si>
    <t>Rastplatz Sommenberg</t>
  </si>
  <si>
    <t>Zugang Johanisberg zu Herrenhölzli</t>
  </si>
  <si>
    <t>Zugang zu Sommenberg bei Rankwald</t>
  </si>
  <si>
    <t>Rastplatz Eulenplatz</t>
  </si>
  <si>
    <t>Waldzugang Ost zu Wald Honegg</t>
  </si>
  <si>
    <t>Waldzugang West zu Wald Honegg</t>
  </si>
  <si>
    <t>Rastplatz Honegg</t>
  </si>
  <si>
    <t>Waldzugang Feldeggstrasse zu Oberer Asp</t>
  </si>
  <si>
    <t>Waldzugang Tägernau zu Oberer Aspwald</t>
  </si>
  <si>
    <t>Waldzugang Brunnenbach zu Naturlehrpfad</t>
  </si>
  <si>
    <t>Waldzugang Tägernaurain bei Naturlehrpfad</t>
  </si>
  <si>
    <t>Waldzugang Leimbüel</t>
  </si>
  <si>
    <t>Waldzugang vor Brücke Hackenest</t>
  </si>
  <si>
    <t>Waldzugang von Rüti nahe Moosbrücke</t>
  </si>
  <si>
    <t>Rastplatz Wyderchlösterli</t>
  </si>
  <si>
    <t>Waldzugang bei Kläranlage Rüti</t>
  </si>
  <si>
    <t>Waldzugang Ferrachriet</t>
  </si>
  <si>
    <t>Waldzugang Nord zu Martinsbrünneli</t>
  </si>
  <si>
    <t>Waldzugang bei Parkplatz Rütistrasse</t>
  </si>
  <si>
    <t>Waldzugang bei Martinsbrünneli</t>
  </si>
  <si>
    <t>Rietsberg Hütte für Waldtag</t>
  </si>
  <si>
    <t>Moosriet</t>
  </si>
  <si>
    <t>Rastplatz Grunau</t>
  </si>
  <si>
    <t>Vor der Grunaubrücke</t>
  </si>
  <si>
    <t>Vita-Parcour-Parkplatz</t>
  </si>
  <si>
    <t>Baum beim Eingang Wilderau</t>
  </si>
  <si>
    <t>Baum bei Verzweigung Strasse Solenberg</t>
  </si>
  <si>
    <t>Oberwald Gehrenkreuzung</t>
  </si>
  <si>
    <t>Post</t>
  </si>
  <si>
    <t>Ledi Kreuzung zu Steiner Alois</t>
  </si>
  <si>
    <t>Ziegelbrücke Fussweg Rüti</t>
  </si>
  <si>
    <t>An Parkuhr Hotel Walensee Trattoria</t>
  </si>
  <si>
    <t>An Parkuhr Hotel Schwert</t>
  </si>
  <si>
    <t>An Parkuhr SBB Areal</t>
  </si>
  <si>
    <t>An Parkuhr Speerplatz</t>
  </si>
  <si>
    <t>Gufler</t>
  </si>
  <si>
    <t>Betlis</t>
  </si>
  <si>
    <t>Lago Mio</t>
  </si>
  <si>
    <t>Gyrengarten</t>
  </si>
  <si>
    <t>Durchschlegi</t>
  </si>
  <si>
    <t>Rohmbach</t>
  </si>
  <si>
    <t>Sportbahnen</t>
  </si>
  <si>
    <t>Konsum</t>
  </si>
  <si>
    <t>Tempel</t>
  </si>
  <si>
    <t>Gemeindehaus</t>
  </si>
  <si>
    <t>Allmannsbrunnen</t>
  </si>
  <si>
    <t>Rossbüchel</t>
  </si>
  <si>
    <t>Hüttenmoos</t>
  </si>
  <si>
    <t>Hasenstrick</t>
  </si>
  <si>
    <t>Wittobel</t>
  </si>
  <si>
    <t>Steinbüchel</t>
  </si>
  <si>
    <t>Wittenwald</t>
  </si>
  <si>
    <t>Ems</t>
  </si>
  <si>
    <t>Bueholz</t>
  </si>
  <si>
    <t>Farnenwald</t>
  </si>
  <si>
    <t>Burgstock</t>
  </si>
  <si>
    <t>Moos</t>
  </si>
  <si>
    <t>Tannenberg</t>
  </si>
  <si>
    <t>Bernhardzellerwald</t>
  </si>
  <si>
    <t>Niderlegi</t>
  </si>
  <si>
    <t>Bildtannen</t>
  </si>
  <si>
    <t>Eichwald</t>
  </si>
  <si>
    <t>Bürerwald</t>
  </si>
  <si>
    <t>Himmelbleichi</t>
  </si>
  <si>
    <t>Chrüzalber</t>
  </si>
  <si>
    <t>Au</t>
  </si>
  <si>
    <t>Hohrain</t>
  </si>
  <si>
    <t>Brunnenwis</t>
  </si>
  <si>
    <t>Chlosterwald</t>
  </si>
  <si>
    <t>Höhiholz</t>
  </si>
  <si>
    <t>Haldenholz</t>
  </si>
  <si>
    <t>Baldenwil</t>
  </si>
  <si>
    <t>Inzenbergwald</t>
  </si>
  <si>
    <t>Bruederwald</t>
  </si>
  <si>
    <t>Böl</t>
  </si>
  <si>
    <t>Wisbachtobel</t>
  </si>
  <si>
    <t>Langenentschwilerwald</t>
  </si>
  <si>
    <t>Risiwald</t>
  </si>
  <si>
    <t>Buechholz</t>
  </si>
  <si>
    <t>Landbergwald</t>
  </si>
  <si>
    <t>Riederenwald</t>
  </si>
  <si>
    <t>Rüti</t>
  </si>
  <si>
    <t>Äschiloch</t>
  </si>
  <si>
    <t>Wolfsgrueb</t>
  </si>
  <si>
    <t>Buebental</t>
  </si>
  <si>
    <t>Chreiensteig</t>
  </si>
  <si>
    <t>Sonderhalden</t>
  </si>
  <si>
    <t>Wildbergwald</t>
  </si>
  <si>
    <t>Lenterberg</t>
  </si>
  <si>
    <t>Tüfenwis</t>
  </si>
  <si>
    <t>Thurau</t>
  </si>
  <si>
    <t>Wirmeten</t>
  </si>
  <si>
    <t>Löhr</t>
  </si>
  <si>
    <t>Bärensberg</t>
  </si>
  <si>
    <t>Gmeinacker Niederstetten</t>
  </si>
  <si>
    <t>Schwarzenbacher Brücke</t>
  </si>
  <si>
    <t>Bergwald</t>
  </si>
  <si>
    <t>Hagenbuechwald</t>
  </si>
  <si>
    <t>Chatzenstrebel</t>
  </si>
  <si>
    <t>Hätterenwald</t>
  </si>
  <si>
    <t>Anschwiler Wald</t>
  </si>
  <si>
    <t>Wissholz</t>
  </si>
  <si>
    <t>Matterwald</t>
  </si>
  <si>
    <t>Buechenwald</t>
  </si>
  <si>
    <t>Hofrigwald</t>
  </si>
  <si>
    <t>Nutzenbuecherwald</t>
  </si>
  <si>
    <t>Kasperstock</t>
  </si>
  <si>
    <t>Hölzli</t>
  </si>
  <si>
    <t>Ochsenweid</t>
  </si>
  <si>
    <t>Weierholz</t>
  </si>
  <si>
    <t>Neurüdlen</t>
  </si>
  <si>
    <t>Bruggwis</t>
  </si>
  <si>
    <t>Schwendi</t>
  </si>
  <si>
    <t>Tannenwald</t>
  </si>
  <si>
    <t>Leitobel</t>
  </si>
  <si>
    <t>Talstation Gamplütlift</t>
  </si>
  <si>
    <t>Tschennerwald Holzplatz</t>
  </si>
  <si>
    <t>Gargums</t>
  </si>
  <si>
    <t>Gaschlon</t>
  </si>
  <si>
    <t>Tiergarten</t>
  </si>
  <si>
    <t>Seeztobel</t>
  </si>
  <si>
    <t>Waldheim</t>
  </si>
  <si>
    <t>Engelwaldrank</t>
  </si>
  <si>
    <t>Wiesli</t>
  </si>
  <si>
    <t>Schigg</t>
  </si>
  <si>
    <t>Vita Parcour</t>
  </si>
  <si>
    <t>Eingang Vita Parcour</t>
  </si>
  <si>
    <t>Eugst</t>
  </si>
  <si>
    <t>Schloss</t>
  </si>
  <si>
    <t>Schloss Eingang</t>
  </si>
  <si>
    <t>Halbmil</t>
  </si>
  <si>
    <t>Cavortsch</t>
  </si>
  <si>
    <t>Lee</t>
  </si>
  <si>
    <t>Gräpplang</t>
  </si>
  <si>
    <t>Port</t>
  </si>
  <si>
    <t>Schlössli</t>
  </si>
  <si>
    <t>Tünelen</t>
  </si>
  <si>
    <t>Bergerwald</t>
  </si>
  <si>
    <t>Chnüsel</t>
  </si>
  <si>
    <t>Schilt</t>
  </si>
  <si>
    <t>Dorf Quinten</t>
  </si>
  <si>
    <t>Finstertal</t>
  </si>
  <si>
    <t>Schwerzenberg Ruine</t>
  </si>
  <si>
    <t>Biberhölzli Ost</t>
  </si>
  <si>
    <t>Biberhölzli West</t>
  </si>
  <si>
    <t>Biberhölzli Nord</t>
  </si>
  <si>
    <t>Bahnhof Süd</t>
  </si>
  <si>
    <t>Bahnhof Nord</t>
  </si>
  <si>
    <t>Bisenwäldli am Alten Rhein</t>
  </si>
  <si>
    <t>Eselschwanz 3</t>
  </si>
  <si>
    <t>Eselschwanz 2</t>
  </si>
  <si>
    <t>Eselschwanz 1</t>
  </si>
  <si>
    <t>Seilbahn</t>
  </si>
  <si>
    <t>Meldeggwald 3</t>
  </si>
  <si>
    <t>Meldeggwald 2</t>
  </si>
  <si>
    <t>Meldeggwald 1</t>
  </si>
  <si>
    <t>Schlössli Rosenberg</t>
  </si>
  <si>
    <t>Schossenriet</t>
  </si>
  <si>
    <t>Städtlibrücke</t>
  </si>
  <si>
    <t>Rüdenrank</t>
  </si>
  <si>
    <t>Langmoos</t>
  </si>
  <si>
    <t>Dorfzentrum</t>
  </si>
  <si>
    <t>bei der alten Rheinbrücke</t>
  </si>
  <si>
    <t>Schmitterzoll</t>
  </si>
  <si>
    <t>Wolkenbergstrasse</t>
  </si>
  <si>
    <t>Länglerstrasse</t>
  </si>
  <si>
    <t>Schloss Grünenstein</t>
  </si>
  <si>
    <t>Schloss-Grünensteinstrasse</t>
  </si>
  <si>
    <t>Weierseggwaldweg</t>
  </si>
  <si>
    <t>Weierseggstrasse</t>
  </si>
  <si>
    <t>Forstwerkhof Listenstrasse</t>
  </si>
  <si>
    <t>Forstwerkhof Dorfbach</t>
  </si>
  <si>
    <t>Forstwerkhof Kleinenbergstrasse</t>
  </si>
  <si>
    <t>Forstwerkhof Kapfstrasse</t>
  </si>
  <si>
    <t>Plattenweg</t>
  </si>
  <si>
    <t>Hümpelerwaldweg</t>
  </si>
  <si>
    <t>Rebengasse</t>
  </si>
  <si>
    <t>Sonnenbergstrasse</t>
  </si>
  <si>
    <t>Schlossstrasse oben</t>
  </si>
  <si>
    <t>Schlossstrasse unten</t>
  </si>
  <si>
    <t>Entenbad Ost</t>
  </si>
  <si>
    <t>Gemeinde Rebstein</t>
  </si>
  <si>
    <t>Quelle Ramstel</t>
  </si>
  <si>
    <t>Unterhalb Härdli Quellen bei Weg Hub / Bergstrasse</t>
  </si>
  <si>
    <t>Fallstrasse beim Goldwiesli</t>
  </si>
  <si>
    <t>Fallstrasse bei Feuerstelle Blockhütte</t>
  </si>
  <si>
    <t>Fallstrasse bei Einfahrt</t>
  </si>
  <si>
    <t>Gemeinde Marbach</t>
  </si>
  <si>
    <t>Bärenhölzli Richtung Reservoir Lautern</t>
  </si>
  <si>
    <t>Bergstr. Ob Anker bei Bänkli Richtung Bruggtobel</t>
  </si>
  <si>
    <t>Unterhalb Rest. Bruggtobel Richtung Altstätten vor Durchlass</t>
  </si>
  <si>
    <t>Flüguf bei Bänkli Richtung roter Steg</t>
  </si>
  <si>
    <t>Grillstelle Waldstrasse</t>
  </si>
  <si>
    <t>Alte Stoosstrasse Nord</t>
  </si>
  <si>
    <t>Blockhütte</t>
  </si>
  <si>
    <t>Schwarzenweid</t>
  </si>
  <si>
    <t>Hoch Chapf</t>
  </si>
  <si>
    <t>Hölzlisberg</t>
  </si>
  <si>
    <t>Lattenwald</t>
  </si>
  <si>
    <t>Feuerstelle Furnis</t>
  </si>
  <si>
    <t>Eingang Räbernstrasse</t>
  </si>
  <si>
    <t>Däzen Plona</t>
  </si>
  <si>
    <t>Feuerstelle Brunnenberg</t>
  </si>
  <si>
    <t>Feuerstelle Buolt</t>
  </si>
  <si>
    <t>Eingang Brunnenbergstrasse</t>
  </si>
  <si>
    <t>Burg Hohensax</t>
  </si>
  <si>
    <t>Nassel</t>
  </si>
  <si>
    <t>Holzerplatz</t>
  </si>
  <si>
    <t>Bad Forstegg</t>
  </si>
  <si>
    <t>Kuhweidli</t>
  </si>
  <si>
    <t>Kaltenbrunnen</t>
  </si>
  <si>
    <t>Kuhweid</t>
  </si>
  <si>
    <t>Badweghüttli</t>
  </si>
  <si>
    <t>Ord</t>
  </si>
  <si>
    <t>Gronen</t>
  </si>
  <si>
    <t>Lärchengartenhütte</t>
  </si>
  <si>
    <t>Stillenbrunnen</t>
  </si>
  <si>
    <t>Chalchofenhütte bei Feuerstelle</t>
  </si>
  <si>
    <t>Kiosk beim Voralpsee</t>
  </si>
  <si>
    <t>Stofel beim Gatter Abzweiger zum Voralpsee</t>
  </si>
  <si>
    <t>Höhi beim Parkplatz</t>
  </si>
  <si>
    <t>Berggasthaus Voralp bei Gartenwirtschaft</t>
  </si>
  <si>
    <t>Berggasthaus Voralp beim Beginn Weg zum See</t>
  </si>
  <si>
    <t>Abzweiger Maienbergstrasse beim Gamperfin</t>
  </si>
  <si>
    <t>Beginn Gamperfinstrasse</t>
  </si>
  <si>
    <t>Gamperfinhaus</t>
  </si>
  <si>
    <t>Rosshag</t>
  </si>
  <si>
    <t>Montaschin bei Beginn Ivelspusstrasse</t>
  </si>
  <si>
    <t>Egeten bei der Feuerstelle</t>
  </si>
  <si>
    <t>Berggasthaus Malbun</t>
  </si>
  <si>
    <t>Steinbruch</t>
  </si>
  <si>
    <t>Hinter Runggels</t>
  </si>
  <si>
    <t>Feuerstelle bei Grenze zu Grabs</t>
  </si>
  <si>
    <t>ARA Buchs beim Kanal</t>
  </si>
  <si>
    <t>Oberzwey</t>
  </si>
  <si>
    <t>Postrank</t>
  </si>
  <si>
    <t>Witteli Bienenhaus</t>
  </si>
  <si>
    <t>Ranserholzweg</t>
  </si>
  <si>
    <t>Abzweigung Eggli</t>
  </si>
  <si>
    <t>Grillplatz Fulbüel</t>
  </si>
  <si>
    <t>Bergstrasse Glatstein</t>
  </si>
  <si>
    <t>Blockhütte Grossenboden</t>
  </si>
  <si>
    <t>Planggaboden Linde</t>
  </si>
  <si>
    <t>Grillplatz Muggenstich</t>
  </si>
  <si>
    <t>Schaukasten Rathaus</t>
  </si>
  <si>
    <t>Sonnenburg, Rüteli</t>
  </si>
  <si>
    <t>Bömmetli, Hohrain</t>
  </si>
  <si>
    <t>Eberwis, Langegg</t>
  </si>
  <si>
    <t>Sonnenberg, Chapf</t>
  </si>
  <si>
    <t>Schlüechti, Vogelsberg</t>
  </si>
  <si>
    <t>Bisacht, Wildbergwald</t>
  </si>
  <si>
    <t>Freudenberg, Vogelsberg</t>
  </si>
  <si>
    <t>Waldhof, Vogelsberg</t>
  </si>
  <si>
    <t>Rüteli, Vogelsberg</t>
  </si>
  <si>
    <t>Frohe Aussicht, Vogelsberg</t>
  </si>
  <si>
    <t>Ampferenboden, Ende Neckertalstrasse</t>
  </si>
  <si>
    <t>Ampferenboden, Kiesbank</t>
  </si>
  <si>
    <t>Chräzerenpass</t>
  </si>
  <si>
    <t>Abzweigung Hornstrasse</t>
  </si>
  <si>
    <t>Brandenhütte</t>
  </si>
  <si>
    <t>Rosengarten, bei Gehrig Josef</t>
  </si>
  <si>
    <t>Walensee, an Kursschiff abgeben 4 Stk.</t>
  </si>
  <si>
    <t>Schaukasten Rathaus, Sporgasse 7</t>
  </si>
  <si>
    <t>Feuerstelle Rheinau, Burgerau</t>
  </si>
  <si>
    <t>Waldregion</t>
  </si>
  <si>
    <t>Waldregion 4 See</t>
  </si>
  <si>
    <t>Waldregion 1 St.Gallen</t>
  </si>
  <si>
    <t>Waldregion 5 Toggenburg</t>
  </si>
  <si>
    <t>Waldregion 3 Sargans</t>
  </si>
  <si>
    <t>Waldregion 2 Werdenberg-Rheintal</t>
  </si>
  <si>
    <t>Karte</t>
  </si>
  <si>
    <t>Dritte, OG Rapperswil-Jona</t>
  </si>
  <si>
    <t>Nussbaumwald</t>
  </si>
  <si>
    <t>Obergrütt</t>
  </si>
  <si>
    <t>Seeuferweg Staad</t>
  </si>
  <si>
    <t>Wiesenstrasse Altenrhein</t>
  </si>
  <si>
    <t>Schlössliweg Staad</t>
  </si>
  <si>
    <t>Unterterzen Rathaus</t>
  </si>
  <si>
    <t>Talstation LUFAG Seilbahn</t>
  </si>
  <si>
    <t>Mols Anschlagekasten Dorfplatz</t>
  </si>
  <si>
    <t>Feuerstelle Rugg</t>
  </si>
  <si>
    <t>Calusa</t>
  </si>
  <si>
    <t>Otternstein</t>
  </si>
  <si>
    <t>Unterwald am See</t>
  </si>
  <si>
    <t>Chriesisteinweg</t>
  </si>
  <si>
    <t>Schnabelweid</t>
  </si>
  <si>
    <t>Hasenberg</t>
  </si>
  <si>
    <t>Feuerstelle Gela</t>
  </si>
  <si>
    <t>Abzweigung Zofina</t>
  </si>
  <si>
    <t>Haggenwald</t>
  </si>
  <si>
    <t>Feuerstelle Rosschopf</t>
  </si>
  <si>
    <t>P. 563 Kürschnen</t>
  </si>
  <si>
    <t>P. 490 Reschu</t>
  </si>
  <si>
    <t>P. 484 Talstation Spinabahn</t>
  </si>
  <si>
    <t>Vaschgedeus</t>
  </si>
  <si>
    <t>Rosengasse</t>
  </si>
  <si>
    <t>Saarfall</t>
  </si>
  <si>
    <t>Altes Spritzenhaus Pfäfers</t>
  </si>
  <si>
    <t>Spritzenhaus Vadura</t>
  </si>
  <si>
    <t>Eingang Badtobel</t>
  </si>
  <si>
    <t>Sergeuris Abzw. Rafegen - Wildboden</t>
  </si>
  <si>
    <t>Abzweigung Rüttenstrasse</t>
  </si>
  <si>
    <t>Abzweigung Eschwaldstrasse</t>
  </si>
  <si>
    <t>Burgruine Freudenberg</t>
  </si>
  <si>
    <t>Chalchofen</t>
  </si>
  <si>
    <t>Sandbrüggli</t>
  </si>
  <si>
    <t xml:space="preserve">Talstation Matells Pizolbahnen AG </t>
  </si>
  <si>
    <t>Bergstation Pardiel Pizolbahnen AG</t>
  </si>
  <si>
    <t>Blumenegg</t>
  </si>
  <si>
    <t>Naturerlebnispark Chrüzacker</t>
  </si>
  <si>
    <t>Reservoir</t>
  </si>
  <si>
    <t>Rösslistrasse</t>
  </si>
  <si>
    <t>Muolen</t>
  </si>
  <si>
    <t>Häggenschwil</t>
  </si>
  <si>
    <t xml:space="preserve">Blauhölzli </t>
  </si>
  <si>
    <t>Berg SG</t>
  </si>
  <si>
    <t>Feuerstelle Weiher Magdenau</t>
  </si>
  <si>
    <t>Eierquelle</t>
  </si>
  <si>
    <t>Vorder Schwendi</t>
  </si>
  <si>
    <t>Obwald</t>
  </si>
  <si>
    <t>Müllstüggli, Bank</t>
  </si>
  <si>
    <t>Heeg</t>
  </si>
  <si>
    <t>Mettlen</t>
  </si>
  <si>
    <t>Bühel</t>
  </si>
  <si>
    <t>Forstrevier Rorschach-Sitter</t>
  </si>
  <si>
    <t>Gründenholz Seilpark</t>
  </si>
  <si>
    <t>Pfaffennaseholz</t>
  </si>
  <si>
    <t>Ramschwag</t>
  </si>
  <si>
    <t>Buoholz</t>
  </si>
  <si>
    <t>Florawald</t>
  </si>
  <si>
    <t>Langbrugg</t>
  </si>
  <si>
    <t>Mörschwil</t>
  </si>
  <si>
    <t>Müllerli</t>
  </si>
  <si>
    <t>Tübach</t>
  </si>
  <si>
    <t>Tübacherholz</t>
  </si>
  <si>
    <t>Galgentobelbrücke</t>
  </si>
  <si>
    <t>Wartau</t>
  </si>
  <si>
    <t>Pfadihütte</t>
  </si>
  <si>
    <t>Vogelhütte</t>
  </si>
  <si>
    <t>Chollau</t>
  </si>
  <si>
    <t>Burgruine</t>
  </si>
  <si>
    <t>Brochna Burg</t>
  </si>
  <si>
    <t>Grestalten</t>
  </si>
  <si>
    <t>Christian's Brünneli</t>
  </si>
  <si>
    <t>Purifenz</t>
  </si>
  <si>
    <t>Standort_Nr</t>
  </si>
  <si>
    <t>Schooren</t>
  </si>
  <si>
    <t>Forstrevier Wil</t>
  </si>
  <si>
    <t>Feuerstelle Naturerlebnisraum Altbach</t>
  </si>
  <si>
    <t>Feuerstelle Geiss</t>
  </si>
  <si>
    <t>Underholz Eingangs Wald</t>
  </si>
  <si>
    <t>Feuerstelle Naturerlebnisraum Bräägg</t>
  </si>
  <si>
    <t>Feuerstelle Hüsligs</t>
  </si>
  <si>
    <t>Abzw.Tübacherholzweg/Meggenmühlistr.</t>
  </si>
  <si>
    <t>St.Gallen</t>
  </si>
  <si>
    <t>Rütibüel</t>
  </si>
  <si>
    <t>Wil</t>
  </si>
  <si>
    <t>Feuerstelle Klausenhütte</t>
  </si>
  <si>
    <t>Feuerstelle Silberseeli</t>
  </si>
  <si>
    <t>Feuerstelle Känzeli</t>
  </si>
  <si>
    <t>Feuerstelle Stechacker</t>
  </si>
  <si>
    <t>Feuerstelle Burgstall</t>
  </si>
  <si>
    <t>Feuerstelle Hofberg</t>
  </si>
  <si>
    <t>Heggibach</t>
  </si>
  <si>
    <t>Talstation Palfriesbahn</t>
  </si>
  <si>
    <t>Feuerstelle Steg</t>
  </si>
  <si>
    <t>Zeltlagerplatz Luterenzug</t>
  </si>
  <si>
    <t>Zeltlagerplatz Hüttenwiese</t>
  </si>
  <si>
    <t>Sportplatz Breitägerten</t>
  </si>
  <si>
    <t>Vättnerberg Talstation</t>
  </si>
  <si>
    <t>Abzweiger Nüchenstrasse in Oberterzen</t>
  </si>
  <si>
    <t>unterhalb Hirschenschopf bei Gebührenparkplatztafel</t>
  </si>
  <si>
    <t>Kehrichthäuschen Rettel</t>
  </si>
  <si>
    <t>Rotherdplangg</t>
  </si>
  <si>
    <t>Spar Benken</t>
  </si>
  <si>
    <t>Oberholz Bach Grenze</t>
  </si>
  <si>
    <t>Eglingen Bannholzstrasse</t>
  </si>
  <si>
    <t>Löffel Laupenstrasse</t>
  </si>
  <si>
    <t>Enetbach Bürgstrasse</t>
  </si>
  <si>
    <t>300m Stand Parkplatz Anschlagkasten KD-Box</t>
  </si>
  <si>
    <t>Talstation Kasse</t>
  </si>
  <si>
    <t>Gebertingerwald Waldestrasse Parkplatz Sagenwald</t>
  </si>
  <si>
    <t>Eschenbach</t>
  </si>
  <si>
    <t>Waldeingang nach Vogelschutzgebiet</t>
  </si>
  <si>
    <t>Waldeingang nach Rebberg Tüllenrain</t>
  </si>
  <si>
    <t>Baum oberhalb BAMAG Gasterholz</t>
  </si>
  <si>
    <t xml:space="preserve">Gemeindeverwaltung </t>
  </si>
  <si>
    <t>Spielplatz Forren</t>
  </si>
  <si>
    <t>Feuerwehrdepot</t>
  </si>
  <si>
    <t>Magdalenerplatz + JMS Strasse</t>
  </si>
  <si>
    <t>Eingang Grottenweg</t>
  </si>
  <si>
    <t>Eingang Schuttstrasse</t>
  </si>
  <si>
    <t>Bushaltestelle Burgplatz</t>
  </si>
  <si>
    <t>Unterer Buchwald bei Fanton</t>
  </si>
  <si>
    <t>Talstation Iltiosbahn</t>
  </si>
  <si>
    <t>Talstation Bergbahn Wildhaus</t>
  </si>
  <si>
    <t>Talstation Alt St. Johann</t>
  </si>
  <si>
    <t>Rappenloch beim Parkplatz</t>
  </si>
  <si>
    <t>Skihaus Sennwald</t>
  </si>
  <si>
    <t>Parkplatz Schollberg Klettergarten</t>
  </si>
  <si>
    <t>Magletsch vor MZH</t>
  </si>
  <si>
    <t>Talstation Seilbahn Hotel Alvier</t>
  </si>
  <si>
    <t>Schwimmbad</t>
  </si>
  <si>
    <t>Bergstation Seilbahn Hotel Alvier</t>
  </si>
  <si>
    <t>Heidispielplatz</t>
  </si>
  <si>
    <t>Schnabsgrotza</t>
  </si>
  <si>
    <t>Bergstation Palfiserbahn</t>
  </si>
  <si>
    <t>Parkplatz Berghaus Palfris</t>
  </si>
  <si>
    <t>Forstrevier Wartau</t>
  </si>
  <si>
    <t>Blache</t>
  </si>
  <si>
    <t>Feuerstelle KITA Mühleli</t>
  </si>
  <si>
    <t>Gründenholz Almendstrasse</t>
  </si>
  <si>
    <t>Standort_Bem</t>
  </si>
  <si>
    <t>Koord_E</t>
  </si>
  <si>
    <t>Koord_N</t>
  </si>
  <si>
    <t>Tafel_A4</t>
  </si>
  <si>
    <t>Tafel_A3</t>
  </si>
  <si>
    <t>Norenberg Hüttli, Vitaparcour</t>
  </si>
  <si>
    <t>Underholz, Zugang Thur</t>
  </si>
  <si>
    <t>Steineggwald, Rütistrasse</t>
  </si>
  <si>
    <t>Neuwald, Hütte</t>
  </si>
  <si>
    <t>Saxholz, Dorneggwald</t>
  </si>
  <si>
    <t>Erlenholz, LED Tafel am Dorfeingang</t>
  </si>
  <si>
    <t>Hümpelerweg, Wild-Stiftenweg</t>
  </si>
  <si>
    <t>Tigelbergwaldstrasse</t>
  </si>
  <si>
    <t>Rüden-Kobelstrasse</t>
  </si>
  <si>
    <t>Hintere Kobelstrasse</t>
  </si>
  <si>
    <t>Husenstrasse 4/6</t>
  </si>
  <si>
    <t>Gibel, Bahnstrasse</t>
  </si>
  <si>
    <t>Buechholz, Alte Landstrasse</t>
  </si>
  <si>
    <t>Schlafenackerstrasse</t>
  </si>
  <si>
    <t>Alte Landstrasse, SAK</t>
  </si>
  <si>
    <t>Taatobelstrasse, Taa</t>
  </si>
  <si>
    <t>Buech, Oberrütistrasse</t>
  </si>
  <si>
    <t>Ackerbach, Weg Grabs</t>
  </si>
  <si>
    <t>hint. Grabserbergstrasse Vilierhüttli</t>
  </si>
  <si>
    <t>Kienberg OG O, Alpstall</t>
  </si>
  <si>
    <t>Schörgisknorren, Waldstrasse</t>
  </si>
  <si>
    <t>Fallstrasse bei Grillstelle Waldrue</t>
  </si>
  <si>
    <t>Feuerstelle Tröstliholz</t>
  </si>
  <si>
    <t>Skilift Fuchsacker</t>
  </si>
  <si>
    <t>Feuerstelle Magdenauerhöchi</t>
  </si>
  <si>
    <t>Feuerstelle Altenberg</t>
  </si>
  <si>
    <t>Feuerstelle Talmüli, Wissbach</t>
  </si>
  <si>
    <t>Feuerstelle Schwendi</t>
  </si>
  <si>
    <t>Feuerstelle Tonisberg</t>
  </si>
  <si>
    <t>Feuerstelle Ruchwis</t>
  </si>
  <si>
    <t>Jägerhütte Untergerschwil</t>
  </si>
  <si>
    <t>Feuerstelle Wisgraben Dörfli, Dietschwil</t>
  </si>
  <si>
    <t>Feuerstelle Chapf</t>
  </si>
  <si>
    <t>Feuerstelle Laubholz</t>
  </si>
  <si>
    <t>Feuerstelle Ringelberg</t>
  </si>
  <si>
    <t>Feuerstelle Freudenberg</t>
  </si>
  <si>
    <t>Feuerstelle Unterer Notten</t>
  </si>
  <si>
    <t>Feuerstelle Peter und Paul</t>
  </si>
  <si>
    <t>Feuerstelle Oberloch</t>
  </si>
  <si>
    <t>Feuerstelle Höchsterwald</t>
  </si>
  <si>
    <t>Feuerstelle Menzlenwald</t>
  </si>
  <si>
    <t>Feuerstelle Frauenwaldstrasse</t>
  </si>
  <si>
    <t>Feuerstelle Grütterwasen</t>
  </si>
  <si>
    <t>Feuerstelle Springbrunnen</t>
  </si>
  <si>
    <t>Feuerstelle Gibel</t>
  </si>
  <si>
    <t>Feuerstelle Waldpark Tobelbach</t>
  </si>
  <si>
    <t>Feuerstelle Stocken</t>
  </si>
  <si>
    <t>Mäderstrasse, Höchstern</t>
  </si>
  <si>
    <t>Höchsternweg West, Höchstern</t>
  </si>
  <si>
    <t>Höchsternweg Nord, Höchstern</t>
  </si>
  <si>
    <t>Feuerstelle Schlossholz</t>
  </si>
  <si>
    <t>Feuerstelle Wiesenfurt</t>
  </si>
  <si>
    <t>Rösli beim Bänkli</t>
  </si>
  <si>
    <t>Wingert bei Friedhofzufahrt</t>
  </si>
  <si>
    <t>Chalchofenstrasse bei Abzweiger ab Voralpstrasse</t>
  </si>
  <si>
    <t>Schwendiweg bei Abzweiger ab Rogghalmstrasse</t>
  </si>
  <si>
    <t>Feuerstelle Semelenberg</t>
  </si>
  <si>
    <t>Feuerstelle Fuchsplatz</t>
  </si>
  <si>
    <t>Feuerstelle Diepoldsauerhütte</t>
  </si>
  <si>
    <t>Feuerstelle Schindelspalt</t>
  </si>
  <si>
    <t>Feuerstelle Tanzplatz</t>
  </si>
  <si>
    <t>Feuerstelle Kristallhöhle</t>
  </si>
  <si>
    <t>Feuerstelle Salchet</t>
  </si>
  <si>
    <t>Feuerstelle Wichenstein</t>
  </si>
  <si>
    <t>Feuerstelle Schloss Blatten</t>
  </si>
  <si>
    <t>Feuerstelle Hofwald Kriessern</t>
  </si>
  <si>
    <t>Krokodil, Gletscherhügel</t>
  </si>
  <si>
    <t>Burgruine Grimmenstein</t>
  </si>
  <si>
    <t>Rheinspitz Dammweg, Altenrhein</t>
  </si>
  <si>
    <t>Schollenweg Dammweg, Altenrhein</t>
  </si>
  <si>
    <t>Kirchweg Dammweg, Altenrhein</t>
  </si>
  <si>
    <t>Feuerstelle Felsenstrasse, Thal</t>
  </si>
  <si>
    <t>Felsenstrasse, Thal</t>
  </si>
  <si>
    <t>Wartenseestrasse, Bergenstrasse</t>
  </si>
  <si>
    <t>Feuerstelle Schweizerfamilie</t>
  </si>
  <si>
    <t>Spielplatz Heuwiese</t>
  </si>
  <si>
    <t>Abdeckung (dauerndes Feuerverbot), Plakat Gemeinde</t>
  </si>
  <si>
    <t>Feuerstelle Vögelisegg</t>
  </si>
  <si>
    <t>Forstwerkhof Freudenberg, Alpstrasse</t>
  </si>
  <si>
    <t>Rampe alter Alpweg, Valenserstrasse</t>
  </si>
  <si>
    <t>P. 439 Abzweiger Bögenstrasse</t>
  </si>
  <si>
    <t>P. 487 Grotte</t>
  </si>
  <si>
    <t>Fürgglichopf, St. Margrethenberg</t>
  </si>
  <si>
    <t>Eselrank, St. Margrethenbergstrasse</t>
  </si>
  <si>
    <t>Bad Tobelweg, Valens neben der Kirche</t>
  </si>
  <si>
    <t>Bergstrasse, Gurt</t>
  </si>
  <si>
    <t>Langwiesstrasse, Ruhbodenstrasse</t>
  </si>
  <si>
    <t>P. 893 Schüelenbrücke</t>
  </si>
  <si>
    <t>Calfeisentalstrasse, Tröge</t>
  </si>
  <si>
    <t>St. Peter, Dunkler Stein</t>
  </si>
  <si>
    <t>P. 716 Unter Plätz</t>
  </si>
  <si>
    <t>Quarten, Vorlaui-Ortsgemeindehaus</t>
  </si>
  <si>
    <t>P. 663 Anschlagkasten Dorfplatz, Oberterzen</t>
  </si>
  <si>
    <t>P. 427 Sägereischopf Mols, Müli</t>
  </si>
  <si>
    <t>P. 731 Lauiwald</t>
  </si>
  <si>
    <t>P. 531 Buechholz</t>
  </si>
  <si>
    <t>P. 1421 Ebenwald</t>
  </si>
  <si>
    <t>Maienberg, Gartinis</t>
  </si>
  <si>
    <t>Oberholz, Rheinblick</t>
  </si>
  <si>
    <t>Furt-Spielplatz</t>
  </si>
  <si>
    <t>Kurhaus, Trosboden</t>
  </si>
  <si>
    <t>Feuerstelle Grindbüel</t>
  </si>
  <si>
    <t>Feuerstelle Au</t>
  </si>
  <si>
    <t>Kessel beim Kleinkaliberstand</t>
  </si>
  <si>
    <t>Diemberg, Waldeingang Chrauerenberg</t>
  </si>
  <si>
    <t>Diemberg, Hubertingerstrasse</t>
  </si>
  <si>
    <t>Strassenteiler Atzmännig- und Chammstrasse</t>
  </si>
  <si>
    <t>Weggabel Atzmännig- und Müslieggstrasse</t>
  </si>
  <si>
    <t>Hintergoldingerstrasse Zweienrank Abzweiger zu Wanderweg</t>
  </si>
  <si>
    <t>Grosswiti, Anfang</t>
  </si>
  <si>
    <t>Unterstand im Waldlehrpfad, Hauptplatz</t>
  </si>
  <si>
    <t>Feuerstelle Biberlichopf</t>
  </si>
  <si>
    <t>Waldspielplatz Rüti</t>
  </si>
  <si>
    <t>Verzweiger Oberricken- und Hüttenbergstrasse</t>
  </si>
  <si>
    <t>Abzweiger P-Platz Brustenegg, Cholrüti Oberau</t>
  </si>
  <si>
    <t>Flussbad Grynau, Plakat Gemeinde</t>
  </si>
  <si>
    <t>Feuerwehrdepot, Plakat Gemeinde</t>
  </si>
  <si>
    <t>Bahnübergang, Plakat Gemeinde</t>
  </si>
  <si>
    <t>Rössli Kreuzung, Plakat Gemeinde</t>
  </si>
  <si>
    <t xml:space="preserve">Feuerstelle Chapfenberg </t>
  </si>
  <si>
    <t xml:space="preserve">Feuerstelle Geschiebesammler Mietsack </t>
  </si>
  <si>
    <t>Feuerstellen Scherb</t>
  </si>
  <si>
    <t>Feuerstelle Eich</t>
  </si>
  <si>
    <t>Feuerstelle Girlen</t>
  </si>
  <si>
    <t>Feuerstelle Rötschbachwald</t>
  </si>
  <si>
    <t>Waldeingang Bad</t>
  </si>
  <si>
    <t>Feuerstelle Understarchenbach</t>
  </si>
  <si>
    <t>Feuerstelle Haslenwald</t>
  </si>
  <si>
    <t>Feuerstelle Schwanzbrugg</t>
  </si>
  <si>
    <t>Wegverzweigung Chapf</t>
  </si>
  <si>
    <t>Feuerstelle Bohl</t>
  </si>
  <si>
    <t>Parkplatz Burg</t>
  </si>
  <si>
    <t>Feuerstelle Bodenwald</t>
  </si>
  <si>
    <t>Feuerstelle Älpli</t>
  </si>
  <si>
    <t>Feuerstelle Feld</t>
  </si>
  <si>
    <t>Feuerstelle Ergeten 2</t>
  </si>
  <si>
    <t>Feuerstelle Ergeten 1</t>
  </si>
  <si>
    <t>Feuerstelle Ackerwis</t>
  </si>
  <si>
    <t>Restaurant Chrüzegg</t>
  </si>
  <si>
    <t>Feuerstelle Herrenwald</t>
  </si>
  <si>
    <t>Feuerstelle Rüteli, Dürrenmoos</t>
  </si>
  <si>
    <t>Feuerstelle Grund, Dicken</t>
  </si>
  <si>
    <t>Feuerstelle Herrenluftbad</t>
  </si>
  <si>
    <t>Feuerstelle Hornberg</t>
  </si>
  <si>
    <t>Feuerstelle Hornberg bei Bänkli</t>
  </si>
  <si>
    <t>Feuerstelle Wilkethütte</t>
  </si>
  <si>
    <t>Feuerstelle Rietbach</t>
  </si>
  <si>
    <t>Feuerstelle Stelzenboden</t>
  </si>
  <si>
    <t>Feuerstelle Höhgwald</t>
  </si>
  <si>
    <t>Feuerstelle Ruine Rüdburg</t>
  </si>
  <si>
    <t>Feuerstelle Tweralpspitz</t>
  </si>
  <si>
    <t>Feuerstelle Köbelisberg</t>
  </si>
  <si>
    <t>Köbelisberg Sonnenhalde bei Hütte</t>
  </si>
  <si>
    <t>Feuerstelle Buchweid</t>
  </si>
  <si>
    <t>Feuerstelle Vorder Eggli</t>
  </si>
  <si>
    <t>Feuerstelle Rickentobel</t>
  </si>
  <si>
    <t>Feuerstelle Panneregg</t>
  </si>
  <si>
    <t>Magazin OG Wildhaus am Garagentor</t>
  </si>
  <si>
    <t>Familienfeuerstelle Oberdorf</t>
  </si>
  <si>
    <t>Feuerstelle Steinweide</t>
  </si>
  <si>
    <t>Feuerstelle Schwendisee Ost</t>
  </si>
  <si>
    <t>Feuerstelle Dunkelboden am Klangweg</t>
  </si>
  <si>
    <t>Feuerstelle Gräppelensee</t>
  </si>
  <si>
    <t>Feuerstelle Salomonstempel</t>
  </si>
  <si>
    <t>Chrüzegg beim Schiessanzeigekasten</t>
  </si>
  <si>
    <t>Chapf, Sägerei Stillhart beim Wasserfall</t>
  </si>
  <si>
    <t xml:space="preserve">Steintal beim Abzweiger in Richtung Speer Tanzboden </t>
  </si>
  <si>
    <t>Mosnang beim Wegweiser an Dorfkreuzung</t>
  </si>
  <si>
    <t>Hulftegg beim Parkplatz an Anzeigetafel WW</t>
  </si>
  <si>
    <t>Mühlrüti Dorf beim Wegweiser</t>
  </si>
  <si>
    <t>Dreien beim Wegweiser Pöstli</t>
  </si>
  <si>
    <t>Hohl beim Parkplatz</t>
  </si>
  <si>
    <t>Libingen Dorf beim Wegweiser</t>
  </si>
  <si>
    <t>Libingen Dorf beim Parkplatz Meiersalp</t>
  </si>
  <si>
    <t>Mogelsberg Dorf beim Anschlagkasten Gemeindehaus</t>
  </si>
  <si>
    <t>Baumwipfelpfad beim Eingang West</t>
  </si>
  <si>
    <t>Krummenau bei Talstation Sportbahn Wolzenalp</t>
  </si>
  <si>
    <t>Bühl beim Volg-Laden</t>
  </si>
  <si>
    <t>Laad bei Milchsammelstelle</t>
  </si>
  <si>
    <t>Au-Laad bei Hütte</t>
  </si>
  <si>
    <t>Hals bei Abzweigung Perfirenstrasse</t>
  </si>
  <si>
    <t>Ennetbühl Dorf bei Postautohaltestelle</t>
  </si>
  <si>
    <t>Rietbad bei Postautohaltestelle</t>
  </si>
  <si>
    <t>Seeben bei Postautohaltestelle</t>
  </si>
  <si>
    <t>Schiltmoos bei Postautohaltestelle</t>
  </si>
  <si>
    <t>Passhöhe bei Abzweigung Panzerpiste</t>
  </si>
  <si>
    <t>Hornalp bei Abzweigung oberes Horn</t>
  </si>
  <si>
    <t>Grundlosen bei Abzweigung Ebnet</t>
  </si>
  <si>
    <t>Schrändli bei Haltestelle Schulbus</t>
  </si>
  <si>
    <t>Schlatt beim Feuerwehrschopf</t>
  </si>
  <si>
    <t>Aemelsberg beim Milchschopf</t>
  </si>
  <si>
    <t>Nesslau Dorf beim Bahnhof</t>
  </si>
  <si>
    <t>Krummenau Dorf beim Bahnhof</t>
  </si>
  <si>
    <t>Hof-Lutenwil beim Abzweiger Schlohstrasse</t>
  </si>
  <si>
    <t>Hagisegg-Lutenwil beim Abzweiger Friessenstrasse</t>
  </si>
  <si>
    <t>Ruine Neu Toggenburg beim Holzerplatz</t>
  </si>
  <si>
    <t>Feuerstelle Kreuz</t>
  </si>
  <si>
    <t>Stein Dorf am Anschlagbrett Gemeindehaus</t>
  </si>
  <si>
    <t>Stein Dorf bei Milchzentrale</t>
  </si>
  <si>
    <t>Skiliftparkplatz bei Abfallsammelstelle</t>
  </si>
  <si>
    <t>Bödmeli bei Zahlstelle Strasse Nesslefeld-Risipass</t>
  </si>
  <si>
    <t>Schwand beim Abzweiger Juden - Wissbodenstrasse</t>
  </si>
  <si>
    <t>Strasse Unterschwendi bei Abzweigung Weg Brochenberg</t>
  </si>
  <si>
    <t>Säss bei Talstation Selunbahn</t>
  </si>
  <si>
    <t>Laui bei Abzweigung Gräppelen, Militärinformationsstelle</t>
  </si>
  <si>
    <t>Wildhaus Post bei Postautohaltestelle</t>
  </si>
  <si>
    <t>Lisighaus bei Postautohaltestelle</t>
  </si>
  <si>
    <t>Unterwasser Post bei Postautohaltestelle</t>
  </si>
  <si>
    <t>Alt St. Johann Post bei Postautohaltestelle</t>
  </si>
  <si>
    <t>Drei Eidgenossen bei Postautohaltestelle</t>
  </si>
  <si>
    <t>Rumpf bei Jungwachthütte</t>
  </si>
  <si>
    <t>Hinter Eggli beim Alpzimmer</t>
  </si>
  <si>
    <t>Burghalde bei Waldlehrpfadhütte</t>
  </si>
  <si>
    <t>Iburg</t>
  </si>
  <si>
    <t>Parkplatz Tobel bei Tor Milchsammelstelle, Magnetscheibe</t>
  </si>
  <si>
    <t>Schwendiseen beim Parkplatz an Hüttenwand</t>
  </si>
  <si>
    <t>Schwimmbad Schönenboden beim Parkplatz an Materialschopf</t>
  </si>
  <si>
    <t>Rehwald bei Feuerstelle Schweizerfamilie</t>
  </si>
  <si>
    <t>Steineggwald bei Horsthütte</t>
  </si>
  <si>
    <t>Altburg Waldhütte beim Lagerplatz</t>
  </si>
  <si>
    <t>Wannen bei Feuerstelle Schweizerfamilie</t>
  </si>
  <si>
    <t>Armhueb beim Waldeingang St.Konrad</t>
  </si>
  <si>
    <t>Gibel beim Eingang Hafenwald</t>
  </si>
  <si>
    <t>Einmündung Rüden- und Tigelbergstrasse</t>
  </si>
  <si>
    <t>Rheinaustrasse bei Parkplätzen Fussballplatz/Schwimmbad</t>
  </si>
  <si>
    <t>Haldengasse beim Abzweiger zum Wasserfall</t>
  </si>
  <si>
    <t>Waldrand beim Abzweiger Dörnen</t>
  </si>
  <si>
    <t>Ackerbach beim Zollhaus</t>
  </si>
  <si>
    <t>Hasengut bei Feuerstelle und Strasse Unterschwendi Grabs</t>
  </si>
  <si>
    <t>Badweid beim Beginn Badweidstrasse</t>
  </si>
  <si>
    <t>Dorfstrasse 34 beim Beginn Bergstrasse</t>
  </si>
  <si>
    <t>Marktplatz bei Werkhalle</t>
  </si>
  <si>
    <t>Stockengasse bei Abzw. Schellenhalde, Bänkli</t>
  </si>
  <si>
    <t>Käserei Höhi bei Gartenwirtschaft</t>
  </si>
  <si>
    <t>Grillstelle Waldstrasse bei Zufahrt</t>
  </si>
  <si>
    <t>Wogalprank beim Parkplatz</t>
  </si>
  <si>
    <t>Schwammtobel beim Parkplatz</t>
  </si>
  <si>
    <t>Montlinger Schwamm beim Parkplatz</t>
  </si>
  <si>
    <t>Schluch, Wolkenberg bei Bänkli Richtung Heim Widen</t>
  </si>
  <si>
    <t>Bisenwäldli beim Galgenplatz</t>
  </si>
  <si>
    <t>Bisenwäldli beim Rhyweg</t>
  </si>
  <si>
    <t>Bisenwäldli beim Waldeingang</t>
  </si>
  <si>
    <t>Bisenwäldli beim Parkplatz</t>
  </si>
  <si>
    <t>Bisenwäldli an Grenze zu Thal</t>
  </si>
  <si>
    <t>Chapfensee beim Parkplatz</t>
  </si>
  <si>
    <t>Vermol beim Parkplatz</t>
  </si>
  <si>
    <t>Windegg bei Postautohaltestelle</t>
  </si>
  <si>
    <t>St.Margrethenberg bei Verzweigung PP</t>
  </si>
  <si>
    <t>Quarten bei Sennereigebäude</t>
  </si>
  <si>
    <t>Lift bei Talstation Seilbahn</t>
  </si>
  <si>
    <t>Hinter Höchi bei Jägerhütte</t>
  </si>
  <si>
    <t>Arvenbüel bei Bushaltestelle</t>
  </si>
  <si>
    <t>Arvenbüel bei Feuerstelle Riet</t>
  </si>
  <si>
    <t>Fly am Anschlagkasten bei Bushaltestelle</t>
  </si>
  <si>
    <t>Mösli bei Forsthütte</t>
  </si>
  <si>
    <t>Mösli beim Waldeingang Auboden</t>
  </si>
  <si>
    <t>Mösli beim Waldeingang bei Lendi</t>
  </si>
  <si>
    <t>Hänggelgiessen beim Waldeingang Bänkli</t>
  </si>
  <si>
    <t>Grindbüel beim Waldeingang Wittmoos</t>
  </si>
  <si>
    <t>Unterhalden beim Waldeingang Buchental</t>
  </si>
  <si>
    <t>Gemeindehaus am Anschlagkasten</t>
  </si>
  <si>
    <t>Haslenwald beim Waldfestplatz</t>
  </si>
  <si>
    <t>Bildstein beim Rastplatz Panoramaweg</t>
  </si>
  <si>
    <t>Bildstein beim Waldeingang Schmittenäcker</t>
  </si>
  <si>
    <t>Bildstein bei Kirche</t>
  </si>
  <si>
    <t xml:space="preserve">Bildstein beim Kiesplatz am Grottenweg </t>
  </si>
  <si>
    <t>Burgerwald beim Waldeingang Altbad</t>
  </si>
  <si>
    <t>Burgerwald, Sonnenberg am Fussweg beim Bänkli</t>
  </si>
  <si>
    <t>Chamm beim Parkplatz</t>
  </si>
  <si>
    <t>Chrinnen Farnerstrasse beim Parkplatz</t>
  </si>
  <si>
    <t>Zilwaldstrasse beim Abzweiger zur Obereggstrasse</t>
  </si>
  <si>
    <t>Rittmarren bei Verzweigung</t>
  </si>
  <si>
    <t>Klosterberg bei Barriere</t>
  </si>
  <si>
    <t>Egg beim Alpstall</t>
  </si>
  <si>
    <t>Baum im Waldlehrpfad bei Feuerstelle Wasserfall</t>
  </si>
  <si>
    <t>Baum im Waldlehrpfad bei Eingang Waldlehrpfad</t>
  </si>
  <si>
    <t>Cholwald bei Barriere</t>
  </si>
  <si>
    <t>Cholwald beim Alpstall</t>
  </si>
  <si>
    <t>Wielesch beim Alprestaurant</t>
  </si>
  <si>
    <t>Stockegg beim Parkplatz</t>
  </si>
  <si>
    <t xml:space="preserve">Unterbogmen an Stallwand </t>
  </si>
  <si>
    <t>Seilbahnstation Federihüttli an Wand</t>
  </si>
  <si>
    <t>Baum bei Erlenweiher bei Feuerstelle</t>
  </si>
  <si>
    <t>Eichen Bachegg beim Waldfestplatz</t>
  </si>
  <si>
    <t>Chastli Kreisel beim Waldeingang</t>
  </si>
  <si>
    <t>Ledistrasse bei Abzweigung Fussweg</t>
  </si>
  <si>
    <t>Bergstation bei Feuerstelle</t>
  </si>
  <si>
    <t>Champing bei Feuerstelle</t>
  </si>
  <si>
    <t>Altschwand beim Wegweiser gegenüber Restaurant</t>
  </si>
  <si>
    <t>Burgerwald beim Lindenplatz</t>
  </si>
  <si>
    <t>Burgerwald beim Rastplatz Thomasbrunnen</t>
  </si>
  <si>
    <t>Burgerwald bei Blockhütte</t>
  </si>
  <si>
    <t>Burgerwald beim Eingang ob Spinnerei</t>
  </si>
  <si>
    <t>Burgerwald bei Jägerhütte</t>
  </si>
  <si>
    <t>Oberer Buchwald beim Reservoir</t>
  </si>
  <si>
    <t>Unterer Buchwald beim Schützenhaus 300 m</t>
  </si>
  <si>
    <t>Unterer Buchwald zwischen Täliweg und Bach bei Pfadiwiese</t>
  </si>
  <si>
    <t>Unterer Buchwald am Panoramaweg Othmarsberg bei Feuerstelle</t>
  </si>
  <si>
    <t>Burgerwald Täli beim Waldeingang</t>
  </si>
  <si>
    <t>Burgerwald bei Einmündung Taleggweg-Haldenrank</t>
  </si>
  <si>
    <t>Unterer Buchwald beim Parkplatz</t>
  </si>
  <si>
    <t>Werkhof, Plakat Gemeinde</t>
  </si>
  <si>
    <t>Schneit am Anschlagbrett vis à vis Fabrik Ijentaler Strasse</t>
  </si>
  <si>
    <t>Bernhalde bei Postautohaltestelle</t>
  </si>
  <si>
    <t>Passhöhe, Eingang Wanderweg bei Abzweigung Schwägalp</t>
  </si>
  <si>
    <t>Vordernecker beim Parkplatz-Fahrverbot an Gemeindegrenze</t>
  </si>
  <si>
    <t xml:space="preserve">Ellbogen an nördlicher Front des Alpzimmers </t>
  </si>
  <si>
    <t>Lutenwilerstrasse beim Badweiher</t>
  </si>
  <si>
    <t>Toggenburgwald beim Waldeingang</t>
  </si>
  <si>
    <t>Burgstock beim Wanderweg östlicher Zugang</t>
  </si>
  <si>
    <t>Feuerstelle beim Parkplatz Selamattbahn</t>
  </si>
  <si>
    <t>Grundbuchkreis</t>
  </si>
  <si>
    <t>Dritte, Genossenschaft Baumwipfelpfad</t>
  </si>
  <si>
    <t>Dritte, Sicherheitsverbund Region Wil</t>
  </si>
  <si>
    <t>ARA Freudenau (KS_Bew_KAPO)</t>
  </si>
  <si>
    <t>St.Gallerstrasse (KS_Bew_KAPO)</t>
  </si>
  <si>
    <t>Konstanzerstrasse (KS_Bew_KAPO)</t>
  </si>
  <si>
    <t>Eggfeld (KS_Bew_KAPO)</t>
  </si>
  <si>
    <t>Zürcherstrasse (KS_Bew_KAPO)</t>
  </si>
  <si>
    <t>Ortseingang von Grabs beim Werdenbergersee (KS_Bew_KAPO)</t>
  </si>
  <si>
    <t>Ortseingang von Sevelen, Weidweg (KS_Bew_KAPO)</t>
  </si>
  <si>
    <t>Ortseingang von Schaan (KS_Bew_KAPO)</t>
  </si>
  <si>
    <t>Ortseingang von Gams (KS_Bew_KAPO)</t>
  </si>
  <si>
    <t>Ortseingang von Buchs (KS_Bew_KAPO)</t>
  </si>
  <si>
    <t>Zentrum beim Volg (KS_Bew_KAPO)</t>
  </si>
  <si>
    <t>Valurrank, Pfäferserstrasse (KS_Bew_KAPO)</t>
  </si>
  <si>
    <t>P. 481 Spinnerei am Eingang zum Schilstal (KS_Bew_KAPO)</t>
  </si>
  <si>
    <t>Sarelli, Sarellistrasse (KS_Bew_KAPO)</t>
  </si>
  <si>
    <t>Dorfeingang vor Garage Kessler (KS_Bew_KAPO)</t>
  </si>
  <si>
    <t>Gruebenwald bei Abzweigung Freudenberg (KS_Bew_KAPO)</t>
  </si>
  <si>
    <t>Nesslau Dorf am Anschlagbrett Gemeindehaus (KS_Bew_KAPO)</t>
  </si>
  <si>
    <t>Rossweid beim Wegweiser</t>
  </si>
  <si>
    <t>Chatzenschwanz beim Abzweiger Juden - Lindbodenstrasse</t>
  </si>
  <si>
    <t>Feuerstelle Langholz, Waldspielgruppe</t>
  </si>
  <si>
    <t>Wattwil beim Bahnhof</t>
  </si>
  <si>
    <t>Wattwil beim Bräkerplatz</t>
  </si>
  <si>
    <t>Wattwil bei KEBA</t>
  </si>
  <si>
    <t>Wattwil beim Dorfplatz Brunnen</t>
  </si>
  <si>
    <t>Feuerstelle Hohl</t>
  </si>
  <si>
    <t>Bad Fussweg Richtung Schäfer</t>
  </si>
  <si>
    <t>Bruggen 1, Richtung Schwendi</t>
  </si>
  <si>
    <t>Bruggen 2, Richtung Suweid</t>
  </si>
  <si>
    <t>Feuerstelle Spielplatz Laui</t>
  </si>
  <si>
    <t>Feuerstelle beim Thurfall</t>
  </si>
  <si>
    <t>Feuerstelle Gerstenboden bei WC-Kabine</t>
  </si>
  <si>
    <t>Feuerstelle Letzibach hinter Bilchenmoos</t>
  </si>
  <si>
    <t>Feuerstelle bei Giessenfall oben</t>
  </si>
  <si>
    <t>Feuerstelle unter Giessenfall</t>
  </si>
  <si>
    <t>Lamperswiler Weiher (2 Plakate Parkplatz und Feuerstelle)</t>
  </si>
  <si>
    <t>Waldspielgruppe Taaholz (2 Plakate Parkplatz und Feuerstelle)</t>
  </si>
  <si>
    <t>Feuerstelle Hasenberg</t>
  </si>
  <si>
    <t>Gemeindeverwaltung Bauamt</t>
  </si>
  <si>
    <t>Altwis Parkplatz links Eingang Wald</t>
  </si>
  <si>
    <t>Parkplatz Obermatt</t>
  </si>
  <si>
    <t>Dörflerbergstrasse Steinzun</t>
  </si>
  <si>
    <t>Chastli Ledigass Kiessammler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</si>
</sst>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trike/>
      <sz val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/>
    <xf numFmtId="0" fontId="2" fillId="0" borderId="0" xfId="1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1" fillId="0" borderId="0" xfId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2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30.140625" style="1" bestFit="1" customWidth="1"/>
    <col min="2" max="2" width="21.28515625" style="1" bestFit="1" customWidth="1"/>
    <col min="3" max="3" width="41.85546875" style="1" bestFit="1" customWidth="1"/>
    <col min="4" max="4" width="13.140625" style="2" bestFit="1" customWidth="1"/>
    <col min="5" max="5" width="56.140625" style="1" bestFit="1" customWidth="1"/>
    <col min="6" max="6" width="9.85546875" style="4" bestFit="1" customWidth="1"/>
    <col min="7" max="7" width="10" style="4" bestFit="1" customWidth="1"/>
    <col min="8" max="8" width="8.85546875" style="2" bestFit="1" customWidth="1"/>
    <col min="9" max="9" width="8.85546875" style="5" bestFit="1" customWidth="1"/>
    <col min="10" max="10" width="7.28515625" style="5" bestFit="1" customWidth="1"/>
    <col min="11" max="11" width="5.42578125" style="1" bestFit="1" customWidth="1"/>
    <col min="12" max="16384" width="9.140625" style="1"/>
  </cols>
  <sheetData>
    <row r="1" spans="1:11" s="3" customFormat="1" ht="27.75" customHeight="1" x14ac:dyDescent="0.2">
      <c r="A1" s="9" t="s">
        <v>420</v>
      </c>
      <c r="B1" s="9" t="s">
        <v>884</v>
      </c>
      <c r="C1" s="9" t="s">
        <v>0</v>
      </c>
      <c r="D1" s="9" t="s">
        <v>501</v>
      </c>
      <c r="E1" s="9" t="s">
        <v>568</v>
      </c>
      <c r="F1" s="10" t="s">
        <v>569</v>
      </c>
      <c r="G1" s="10" t="s">
        <v>570</v>
      </c>
      <c r="H1" s="9" t="s">
        <v>571</v>
      </c>
      <c r="I1" s="9" t="s">
        <v>572</v>
      </c>
      <c r="J1" s="9" t="s">
        <v>565</v>
      </c>
      <c r="K1" s="9" t="s">
        <v>426</v>
      </c>
    </row>
    <row r="2" spans="1:11" x14ac:dyDescent="0.2">
      <c r="A2" s="1" t="s">
        <v>422</v>
      </c>
      <c r="B2" s="1" t="s">
        <v>34</v>
      </c>
      <c r="C2" s="1" t="s">
        <v>33</v>
      </c>
      <c r="D2" s="2">
        <v>1001</v>
      </c>
      <c r="E2" s="1" t="s">
        <v>212</v>
      </c>
      <c r="F2" s="4">
        <v>2740014</v>
      </c>
      <c r="G2" s="4">
        <v>1256346</v>
      </c>
      <c r="H2" s="2">
        <v>0</v>
      </c>
      <c r="I2" s="5">
        <v>0</v>
      </c>
      <c r="J2" s="5">
        <v>1</v>
      </c>
      <c r="K2" s="11" t="str">
        <f>HYPERLINK("https://www.geoportal.ch/ktsg/map/34?y=2740014&amp;x=1256346&amp;scale=2500&amp;topic=coord&amp;highlight=1&amp;label=Standort|Feuerverbotsplakat","Karte")</f>
        <v>Karte</v>
      </c>
    </row>
    <row r="3" spans="1:11" x14ac:dyDescent="0.2">
      <c r="A3" s="1" t="s">
        <v>422</v>
      </c>
      <c r="B3" s="1" t="s">
        <v>34</v>
      </c>
      <c r="C3" s="1" t="s">
        <v>33</v>
      </c>
      <c r="D3" s="2">
        <v>1002</v>
      </c>
      <c r="E3" s="1" t="s">
        <v>212</v>
      </c>
      <c r="F3" s="4">
        <v>2739865</v>
      </c>
      <c r="G3" s="4">
        <v>1256254</v>
      </c>
      <c r="H3" s="2">
        <v>0</v>
      </c>
      <c r="I3" s="5">
        <v>1</v>
      </c>
      <c r="J3" s="5">
        <v>0</v>
      </c>
      <c r="K3" s="11" t="str">
        <f>HYPERLINK("https://www.geoportal.ch/ktsg/map/34?y=2739865&amp;x=1256254&amp;scale=2500&amp;topic=coord&amp;highlight=1&amp;label=Standort|Feuerverbotsplakat","Karte")</f>
        <v>Karte</v>
      </c>
    </row>
    <row r="4" spans="1:11" x14ac:dyDescent="0.2">
      <c r="A4" s="1" t="s">
        <v>422</v>
      </c>
      <c r="B4" s="1" t="s">
        <v>34</v>
      </c>
      <c r="C4" s="1" t="s">
        <v>33</v>
      </c>
      <c r="D4" s="2">
        <v>1003</v>
      </c>
      <c r="E4" s="1" t="s">
        <v>212</v>
      </c>
      <c r="F4" s="4">
        <v>2739876</v>
      </c>
      <c r="G4" s="4">
        <v>1256048</v>
      </c>
      <c r="H4" s="2">
        <v>0</v>
      </c>
      <c r="I4" s="5">
        <v>0</v>
      </c>
      <c r="J4" s="5">
        <v>1</v>
      </c>
      <c r="K4" s="11" t="str">
        <f>HYPERLINK("https://www.geoportal.ch/ktsg/map/34?y=2739876&amp;x=1256048&amp;scale=2500&amp;topic=coord&amp;highlight=1&amp;label=Standort|Feuerverbotsplakat","Karte")</f>
        <v>Karte</v>
      </c>
    </row>
    <row r="5" spans="1:11" x14ac:dyDescent="0.2">
      <c r="A5" s="1" t="s">
        <v>422</v>
      </c>
      <c r="B5" s="1" t="s">
        <v>471</v>
      </c>
      <c r="C5" s="1" t="s">
        <v>480</v>
      </c>
      <c r="D5" s="2">
        <v>1004</v>
      </c>
      <c r="E5" s="1" t="s">
        <v>595</v>
      </c>
      <c r="F5" s="4">
        <v>2746945</v>
      </c>
      <c r="G5" s="4">
        <v>1260277</v>
      </c>
      <c r="H5" s="2">
        <v>0</v>
      </c>
      <c r="I5" s="5">
        <v>1</v>
      </c>
      <c r="J5" s="5">
        <v>0</v>
      </c>
      <c r="K5" s="11" t="str">
        <f>HYPERLINK("https://www.geoportal.ch/ktsg/map/34?y=2746945&amp;x=1260277&amp;scale=2500&amp;topic=coord&amp;highlight=1&amp;label=Standort|Feuerverbotsplakat","Karte")</f>
        <v>Karte</v>
      </c>
    </row>
    <row r="6" spans="1:11" x14ac:dyDescent="0.2">
      <c r="A6" s="1" t="s">
        <v>422</v>
      </c>
      <c r="B6" s="1" t="s">
        <v>471</v>
      </c>
      <c r="C6" s="1" t="s">
        <v>480</v>
      </c>
      <c r="D6" s="2">
        <v>1005</v>
      </c>
      <c r="E6" s="1" t="s">
        <v>482</v>
      </c>
      <c r="F6" s="4">
        <v>2748890</v>
      </c>
      <c r="G6" s="4">
        <v>1261017</v>
      </c>
      <c r="H6" s="2">
        <v>0</v>
      </c>
      <c r="I6" s="5">
        <v>1</v>
      </c>
      <c r="J6" s="5">
        <v>0</v>
      </c>
      <c r="K6" s="11" t="str">
        <f>HYPERLINK("https://www.geoportal.ch/ktsg/map/34?y=2748890&amp;x=1261017&amp;scale=2500&amp;topic=coord&amp;highlight=1&amp;label=Standort|Feuerverbotsplakat","Karte")</f>
        <v>Karte</v>
      </c>
    </row>
    <row r="7" spans="1:11" x14ac:dyDescent="0.2">
      <c r="A7" s="1" t="s">
        <v>422</v>
      </c>
      <c r="B7" s="1" t="s">
        <v>47</v>
      </c>
      <c r="C7" s="1" t="s">
        <v>503</v>
      </c>
      <c r="D7" s="2">
        <v>1006</v>
      </c>
      <c r="E7" s="1" t="s">
        <v>252</v>
      </c>
      <c r="F7" s="4">
        <v>2721182</v>
      </c>
      <c r="G7" s="4">
        <v>1259848</v>
      </c>
      <c r="H7" s="2">
        <v>0</v>
      </c>
      <c r="I7" s="5">
        <v>1</v>
      </c>
      <c r="J7" s="5">
        <v>0</v>
      </c>
      <c r="K7" s="11" t="str">
        <f>HYPERLINK("https://www.geoportal.ch/ktsg/map/34?y=2721182&amp;x=1259848&amp;scale=2500&amp;topic=coord&amp;highlight=1&amp;label=Standort|Feuerverbotsplakat","Karte")</f>
        <v>Karte</v>
      </c>
    </row>
    <row r="8" spans="1:11" x14ac:dyDescent="0.2">
      <c r="A8" s="1" t="s">
        <v>422</v>
      </c>
      <c r="B8" s="1" t="s">
        <v>47</v>
      </c>
      <c r="C8" s="1" t="s">
        <v>503</v>
      </c>
      <c r="D8" s="2">
        <v>1007</v>
      </c>
      <c r="E8" s="1" t="s">
        <v>252</v>
      </c>
      <c r="F8" s="4">
        <v>2721054</v>
      </c>
      <c r="G8" s="4">
        <v>1259805</v>
      </c>
      <c r="H8" s="2">
        <v>0</v>
      </c>
      <c r="I8" s="5">
        <v>1</v>
      </c>
      <c r="J8" s="5">
        <v>0</v>
      </c>
      <c r="K8" s="11" t="str">
        <f>HYPERLINK("https://www.geoportal.ch/ktsg/map/34?y=2721054&amp;x=1259805&amp;scale=2500&amp;topic=coord&amp;highlight=1&amp;label=Standort|Feuerverbotsplakat","Karte")</f>
        <v>Karte</v>
      </c>
    </row>
    <row r="9" spans="1:11" ht="13.5" customHeight="1" x14ac:dyDescent="0.2">
      <c r="A9" s="1" t="s">
        <v>422</v>
      </c>
      <c r="B9" s="1" t="s">
        <v>47</v>
      </c>
      <c r="C9" s="1" t="s">
        <v>503</v>
      </c>
      <c r="D9" s="2">
        <v>1008</v>
      </c>
      <c r="E9" s="1" t="s">
        <v>252</v>
      </c>
      <c r="F9" s="4">
        <v>2721207</v>
      </c>
      <c r="G9" s="4">
        <v>1259715</v>
      </c>
      <c r="H9" s="2">
        <v>0</v>
      </c>
      <c r="I9" s="5">
        <v>1</v>
      </c>
      <c r="J9" s="5">
        <v>0</v>
      </c>
      <c r="K9" s="11" t="str">
        <f>HYPERLINK("https://www.geoportal.ch/ktsg/map/34?y=2721207&amp;x=1259715&amp;scale=2500&amp;topic=coord&amp;highlight=1&amp;label=Standort|Feuerverbotsplakat","Karte")</f>
        <v>Karte</v>
      </c>
    </row>
    <row r="10" spans="1:11" x14ac:dyDescent="0.2">
      <c r="A10" s="1" t="s">
        <v>422</v>
      </c>
      <c r="B10" s="1" t="s">
        <v>47</v>
      </c>
      <c r="C10" s="1" t="s">
        <v>503</v>
      </c>
      <c r="D10" s="2">
        <v>1009</v>
      </c>
      <c r="E10" s="1" t="s">
        <v>252</v>
      </c>
      <c r="F10" s="4">
        <v>2721386</v>
      </c>
      <c r="G10" s="4">
        <v>1259858</v>
      </c>
      <c r="H10" s="2">
        <v>0</v>
      </c>
      <c r="I10" s="5">
        <v>1</v>
      </c>
      <c r="J10" s="5">
        <v>0</v>
      </c>
      <c r="K10" s="11" t="str">
        <f>HYPERLINK("https://www.geoportal.ch/ktsg/map/34?y=2721386&amp;x=1259858&amp;scale=2500&amp;topic=coord&amp;highlight=1&amp;label=Standort|Feuerverbotsplakat","Karte")</f>
        <v>Karte</v>
      </c>
    </row>
    <row r="11" spans="1:11" ht="12.75" customHeight="1" x14ac:dyDescent="0.2">
      <c r="A11" s="1" t="s">
        <v>422</v>
      </c>
      <c r="B11" s="1" t="s">
        <v>47</v>
      </c>
      <c r="C11" s="1" t="s">
        <v>503</v>
      </c>
      <c r="D11" s="2">
        <v>1010</v>
      </c>
      <c r="E11" s="1" t="s">
        <v>245</v>
      </c>
      <c r="F11" s="4">
        <v>2724751</v>
      </c>
      <c r="G11" s="4">
        <v>1260334</v>
      </c>
      <c r="H11" s="2">
        <v>0</v>
      </c>
      <c r="I11" s="5">
        <v>1</v>
      </c>
      <c r="J11" s="5">
        <v>0</v>
      </c>
      <c r="K11" s="11" t="str">
        <f>HYPERLINK("https://www.geoportal.ch/ktsg/map/34?y=2724751&amp;x=1260334&amp;scale=2500&amp;topic=coord&amp;highlight=1&amp;label=Standort|Feuerverbotsplakat","Karte")</f>
        <v>Karte</v>
      </c>
    </row>
    <row r="12" spans="1:11" x14ac:dyDescent="0.2">
      <c r="A12" s="1" t="s">
        <v>422</v>
      </c>
      <c r="B12" s="1" t="s">
        <v>40</v>
      </c>
      <c r="C12" s="1" t="s">
        <v>41</v>
      </c>
      <c r="D12" s="2">
        <v>1011</v>
      </c>
      <c r="E12" s="1" t="s">
        <v>229</v>
      </c>
      <c r="F12" s="4">
        <v>2733210</v>
      </c>
      <c r="G12" s="4">
        <v>1247548</v>
      </c>
      <c r="H12" s="2">
        <v>0</v>
      </c>
      <c r="I12" s="5">
        <v>1</v>
      </c>
      <c r="J12" s="5">
        <v>0</v>
      </c>
      <c r="K12" s="11" t="str">
        <f>HYPERLINK("https://www.geoportal.ch/ktsg/map/34?y=2733210&amp;x=1247548&amp;scale=2500&amp;topic=coord&amp;highlight=1&amp;label=Standort|Feuerverbotsplakat","Karte")</f>
        <v>Karte</v>
      </c>
    </row>
    <row r="13" spans="1:11" x14ac:dyDescent="0.2">
      <c r="A13" s="1" t="s">
        <v>422</v>
      </c>
      <c r="B13" s="1" t="s">
        <v>40</v>
      </c>
      <c r="C13" s="1" t="s">
        <v>41</v>
      </c>
      <c r="D13" s="2">
        <v>1012</v>
      </c>
      <c r="E13" s="1" t="s">
        <v>596</v>
      </c>
      <c r="F13" s="4">
        <v>2732931</v>
      </c>
      <c r="G13" s="4">
        <v>1247320</v>
      </c>
      <c r="H13" s="2">
        <v>0</v>
      </c>
      <c r="I13" s="5">
        <v>1</v>
      </c>
      <c r="J13" s="5">
        <v>0</v>
      </c>
      <c r="K13" s="11" t="str">
        <f>HYPERLINK("https://www.geoportal.ch/ktsg/map/34?y=2732931&amp;x=1247320&amp;scale=2500&amp;topic=coord&amp;highlight=1&amp;label=Standort|Feuerverbotsplakat","Karte")</f>
        <v>Karte</v>
      </c>
    </row>
    <row r="14" spans="1:11" x14ac:dyDescent="0.2">
      <c r="A14" s="1" t="s">
        <v>422</v>
      </c>
      <c r="B14" s="1" t="s">
        <v>40</v>
      </c>
      <c r="C14" s="1" t="s">
        <v>41</v>
      </c>
      <c r="D14" s="2">
        <v>1013</v>
      </c>
      <c r="E14" s="1" t="s">
        <v>117</v>
      </c>
      <c r="F14" s="4">
        <v>2732520</v>
      </c>
      <c r="G14" s="4">
        <v>1248878</v>
      </c>
      <c r="H14" s="2">
        <v>0</v>
      </c>
      <c r="I14" s="5">
        <v>1</v>
      </c>
      <c r="J14" s="5">
        <v>0</v>
      </c>
      <c r="K14" s="11" t="str">
        <f>HYPERLINK("https://www.geoportal.ch/ktsg/map/34?y=2732520&amp;x=1248878&amp;scale=2500&amp;topic=coord&amp;highlight=1&amp;label=Standort|Feuerverbotsplakat","Karte")</f>
        <v>Karte</v>
      </c>
    </row>
    <row r="15" spans="1:11" x14ac:dyDescent="0.2">
      <c r="A15" s="1" t="s">
        <v>422</v>
      </c>
      <c r="B15" s="1" t="s">
        <v>40</v>
      </c>
      <c r="C15" s="1" t="s">
        <v>41</v>
      </c>
      <c r="D15" s="2">
        <v>1014</v>
      </c>
      <c r="E15" s="1" t="s">
        <v>228</v>
      </c>
      <c r="F15" s="4">
        <v>2731973</v>
      </c>
      <c r="G15" s="4">
        <v>1249283</v>
      </c>
      <c r="H15" s="2">
        <v>0</v>
      </c>
      <c r="I15" s="5">
        <v>1</v>
      </c>
      <c r="J15" s="5">
        <v>0</v>
      </c>
      <c r="K15" s="11" t="str">
        <f>HYPERLINK("https://www.geoportal.ch/ktsg/map/34?y=2731973&amp;x=1249283&amp;scale=2500&amp;topic=coord&amp;highlight=1&amp;label=Standort|Feuerverbotsplakat","Karte")</f>
        <v>Karte</v>
      </c>
    </row>
    <row r="16" spans="1:11" x14ac:dyDescent="0.2">
      <c r="A16" s="1" t="s">
        <v>422</v>
      </c>
      <c r="B16" s="1" t="s">
        <v>40</v>
      </c>
      <c r="C16" s="1" t="s">
        <v>41</v>
      </c>
      <c r="D16" s="2">
        <v>1015</v>
      </c>
      <c r="E16" s="1" t="s">
        <v>227</v>
      </c>
      <c r="F16" s="4">
        <v>2731360</v>
      </c>
      <c r="G16" s="4">
        <v>1249941</v>
      </c>
      <c r="H16" s="2">
        <v>0</v>
      </c>
      <c r="I16" s="5">
        <v>1</v>
      </c>
      <c r="J16" s="5">
        <v>0</v>
      </c>
      <c r="K16" s="11" t="str">
        <f>HYPERLINK("https://www.geoportal.ch/ktsg/map/34?y=2731360&amp;x=1249941&amp;scale=2500&amp;topic=coord&amp;highlight=1&amp;label=Standort|Feuerverbotsplakat","Karte")</f>
        <v>Karte</v>
      </c>
    </row>
    <row r="17" spans="1:11" x14ac:dyDescent="0.2">
      <c r="A17" s="1" t="s">
        <v>422</v>
      </c>
      <c r="B17" s="1" t="s">
        <v>40</v>
      </c>
      <c r="C17" s="1" t="s">
        <v>24</v>
      </c>
      <c r="D17" s="2">
        <v>1016</v>
      </c>
      <c r="E17" s="1" t="s">
        <v>597</v>
      </c>
      <c r="F17" s="4">
        <v>2730988</v>
      </c>
      <c r="G17" s="4">
        <v>1251704</v>
      </c>
      <c r="H17" s="2">
        <v>0</v>
      </c>
      <c r="I17" s="5">
        <v>1</v>
      </c>
      <c r="J17" s="5">
        <v>0</v>
      </c>
      <c r="K17" s="11" t="str">
        <f>HYPERLINK("https://www.geoportal.ch/ktsg/map/34?y=2730988&amp;x=1251704&amp;scale=2500&amp;topic=coord&amp;highlight=1&amp;label=Standort|Feuerverbotsplakat","Karte")</f>
        <v>Karte</v>
      </c>
    </row>
    <row r="18" spans="1:11" x14ac:dyDescent="0.2">
      <c r="A18" s="1" t="s">
        <v>422</v>
      </c>
      <c r="B18" s="1" t="s">
        <v>40</v>
      </c>
      <c r="C18" s="1" t="s">
        <v>24</v>
      </c>
      <c r="D18" s="2">
        <v>1017</v>
      </c>
      <c r="E18" s="1" t="s">
        <v>467</v>
      </c>
      <c r="F18" s="4">
        <v>2730825</v>
      </c>
      <c r="G18" s="4">
        <v>1251429</v>
      </c>
      <c r="H18" s="2">
        <v>0</v>
      </c>
      <c r="I18" s="5">
        <v>1</v>
      </c>
      <c r="J18" s="5">
        <v>0</v>
      </c>
      <c r="K18" s="11" t="str">
        <f>HYPERLINK("https://www.geoportal.ch/ktsg/map/34?y=2730825&amp;x=1251429&amp;scale=2500&amp;topic=coord&amp;highlight=1&amp;label=Standort|Feuerverbotsplakat","Karte")</f>
        <v>Karte</v>
      </c>
    </row>
    <row r="19" spans="1:11" x14ac:dyDescent="0.2">
      <c r="A19" s="1" t="s">
        <v>422</v>
      </c>
      <c r="B19" s="1" t="s">
        <v>40</v>
      </c>
      <c r="C19" s="1" t="s">
        <v>24</v>
      </c>
      <c r="D19" s="2">
        <v>1018</v>
      </c>
      <c r="E19" s="1" t="s">
        <v>598</v>
      </c>
      <c r="F19" s="4">
        <v>2731063</v>
      </c>
      <c r="G19" s="4">
        <v>1250116</v>
      </c>
      <c r="H19" s="2">
        <v>0</v>
      </c>
      <c r="I19" s="5">
        <v>1</v>
      </c>
      <c r="J19" s="5">
        <v>0</v>
      </c>
      <c r="K19" s="11" t="str">
        <f>HYPERLINK("https://www.geoportal.ch/ktsg/map/34?y=2731063&amp;x=1250116&amp;scale=2500&amp;topic=coord&amp;highlight=1&amp;label=Standort|Feuerverbotsplakat","Karte")</f>
        <v>Karte</v>
      </c>
    </row>
    <row r="20" spans="1:11" x14ac:dyDescent="0.2">
      <c r="A20" s="6" t="s">
        <v>422</v>
      </c>
      <c r="B20" s="6" t="s">
        <v>40</v>
      </c>
      <c r="C20" s="6" t="s">
        <v>24</v>
      </c>
      <c r="D20" s="2">
        <v>1019</v>
      </c>
      <c r="E20" s="1" t="s">
        <v>472</v>
      </c>
      <c r="F20" s="4">
        <v>2730931</v>
      </c>
      <c r="G20" s="4">
        <v>1251499</v>
      </c>
      <c r="H20" s="2">
        <v>0</v>
      </c>
      <c r="I20" s="5">
        <v>1</v>
      </c>
      <c r="J20" s="5">
        <v>0</v>
      </c>
      <c r="K20" s="11" t="str">
        <f>HYPERLINK("https://www.geoportal.ch/ktsg/map/34?y=2730931&amp;x=1251499&amp;scale=2500&amp;topic=coord&amp;highlight=1&amp;label=Standort|Feuerverbotsplakat","Karte")</f>
        <v>Karte</v>
      </c>
    </row>
    <row r="21" spans="1:11" x14ac:dyDescent="0.2">
      <c r="A21" s="1" t="s">
        <v>422</v>
      </c>
      <c r="B21" s="1" t="s">
        <v>27</v>
      </c>
      <c r="C21" s="1" t="s">
        <v>480</v>
      </c>
      <c r="D21" s="2">
        <v>1020</v>
      </c>
      <c r="E21" s="1" t="s">
        <v>206</v>
      </c>
      <c r="F21" s="4">
        <v>2753579</v>
      </c>
      <c r="G21" s="4">
        <v>1256691</v>
      </c>
      <c r="H21" s="2">
        <v>0</v>
      </c>
      <c r="I21" s="5">
        <v>1</v>
      </c>
      <c r="J21" s="5">
        <v>0</v>
      </c>
      <c r="K21" s="11" t="str">
        <f>HYPERLINK("https://www.geoportal.ch/ktsg/map/34?y=2753579&amp;x=1256691&amp;scale=2500&amp;topic=coord&amp;highlight=1&amp;label=Standort|Feuerverbotsplakat","Karte")</f>
        <v>Karte</v>
      </c>
    </row>
    <row r="22" spans="1:11" x14ac:dyDescent="0.2">
      <c r="A22" s="1" t="s">
        <v>422</v>
      </c>
      <c r="B22" s="1" t="s">
        <v>27</v>
      </c>
      <c r="C22" s="1" t="s">
        <v>480</v>
      </c>
      <c r="D22" s="2">
        <v>1021</v>
      </c>
      <c r="E22" s="1" t="s">
        <v>205</v>
      </c>
      <c r="F22" s="4">
        <v>2754099</v>
      </c>
      <c r="G22" s="4">
        <v>1257378</v>
      </c>
      <c r="H22" s="2">
        <v>0</v>
      </c>
      <c r="I22" s="5">
        <v>1</v>
      </c>
      <c r="J22" s="5">
        <v>0</v>
      </c>
      <c r="K22" s="11" t="str">
        <f>HYPERLINK("https://www.geoportal.ch/ktsg/map/34?y=2754099&amp;x=1257378&amp;scale=2500&amp;topic=coord&amp;highlight=1&amp;label=Standort|Feuerverbotsplakat","Karte")</f>
        <v>Karte</v>
      </c>
    </row>
    <row r="23" spans="1:11" x14ac:dyDescent="0.2">
      <c r="A23" s="1" t="s">
        <v>422</v>
      </c>
      <c r="B23" s="1" t="s">
        <v>27</v>
      </c>
      <c r="C23" s="1" t="s">
        <v>480</v>
      </c>
      <c r="D23" s="2">
        <v>1022</v>
      </c>
      <c r="E23" s="1" t="s">
        <v>202</v>
      </c>
      <c r="F23" s="4">
        <v>2756101</v>
      </c>
      <c r="G23" s="4">
        <v>1258043</v>
      </c>
      <c r="H23" s="2">
        <v>0</v>
      </c>
      <c r="I23" s="5">
        <v>1</v>
      </c>
      <c r="J23" s="5">
        <v>0</v>
      </c>
      <c r="K23" s="11" t="str">
        <f>HYPERLINK("https://www.geoportal.ch/ktsg/map/34?y=2756101&amp;x=1258043&amp;scale=2500&amp;topic=coord&amp;highlight=1&amp;label=Standort|Feuerverbotsplakat","Karte")</f>
        <v>Karte</v>
      </c>
    </row>
    <row r="24" spans="1:11" x14ac:dyDescent="0.2">
      <c r="A24" s="1" t="s">
        <v>422</v>
      </c>
      <c r="B24" s="1" t="s">
        <v>27</v>
      </c>
      <c r="C24" s="1" t="s">
        <v>480</v>
      </c>
      <c r="D24" s="2">
        <v>1023</v>
      </c>
      <c r="E24" s="1" t="s">
        <v>201</v>
      </c>
      <c r="F24" s="4">
        <v>2756616</v>
      </c>
      <c r="G24" s="4">
        <v>1258578</v>
      </c>
      <c r="H24" s="2">
        <v>0</v>
      </c>
      <c r="I24" s="5">
        <v>1</v>
      </c>
      <c r="J24" s="5">
        <v>0</v>
      </c>
      <c r="K24" s="11" t="str">
        <f>HYPERLINK("https://www.geoportal.ch/ktsg/map/34?y=2756616&amp;x=1258578&amp;scale=2500&amp;topic=coord&amp;highlight=1&amp;label=Standort|Feuerverbotsplakat","Karte")</f>
        <v>Karte</v>
      </c>
    </row>
    <row r="25" spans="1:11" x14ac:dyDescent="0.2">
      <c r="A25" s="1" t="s">
        <v>422</v>
      </c>
      <c r="B25" s="1" t="s">
        <v>42</v>
      </c>
      <c r="C25" s="1" t="s">
        <v>41</v>
      </c>
      <c r="D25" s="2">
        <v>1024</v>
      </c>
      <c r="E25" s="1" t="s">
        <v>238</v>
      </c>
      <c r="F25" s="4">
        <v>2730444</v>
      </c>
      <c r="G25" s="4">
        <v>1252289</v>
      </c>
      <c r="H25" s="2">
        <v>0</v>
      </c>
      <c r="I25" s="5">
        <v>1</v>
      </c>
      <c r="J25" s="5">
        <v>0</v>
      </c>
      <c r="K25" s="11" t="str">
        <f>HYPERLINK("https://www.geoportal.ch/ktsg/map/34?y=2730444&amp;x=1252289&amp;scale=2500&amp;topic=coord&amp;highlight=1&amp;label=Standort|Feuerverbotsplakat","Karte")</f>
        <v>Karte</v>
      </c>
    </row>
    <row r="26" spans="1:11" x14ac:dyDescent="0.2">
      <c r="A26" s="1" t="s">
        <v>422</v>
      </c>
      <c r="B26" s="1" t="s">
        <v>42</v>
      </c>
      <c r="C26" s="1" t="s">
        <v>41</v>
      </c>
      <c r="D26" s="2">
        <v>1025</v>
      </c>
      <c r="E26" s="1" t="s">
        <v>236</v>
      </c>
      <c r="F26" s="4">
        <v>2731891</v>
      </c>
      <c r="G26" s="4">
        <v>1254187</v>
      </c>
      <c r="H26" s="2">
        <v>0</v>
      </c>
      <c r="I26" s="5">
        <v>1</v>
      </c>
      <c r="J26" s="5">
        <v>0</v>
      </c>
      <c r="K26" s="11" t="str">
        <f>HYPERLINK("https://www.geoportal.ch/ktsg/map/34?y=2731891&amp;x=1254187&amp;scale=2500&amp;topic=coord&amp;highlight=1&amp;label=Standort|Feuerverbotsplakat","Karte")</f>
        <v>Karte</v>
      </c>
    </row>
    <row r="27" spans="1:11" x14ac:dyDescent="0.2">
      <c r="A27" s="1" t="s">
        <v>422</v>
      </c>
      <c r="B27" s="1" t="s">
        <v>42</v>
      </c>
      <c r="C27" s="1" t="s">
        <v>41</v>
      </c>
      <c r="D27" s="2">
        <v>1026</v>
      </c>
      <c r="E27" s="1" t="s">
        <v>235</v>
      </c>
      <c r="F27" s="4">
        <v>2733210</v>
      </c>
      <c r="G27" s="4">
        <v>1252116</v>
      </c>
      <c r="H27" s="2">
        <v>0</v>
      </c>
      <c r="I27" s="5">
        <v>1</v>
      </c>
      <c r="J27" s="5">
        <v>0</v>
      </c>
      <c r="K27" s="11" t="str">
        <f>HYPERLINK("https://www.geoportal.ch/ktsg/map/34?y=2733210&amp;x=1252116&amp;scale=2500&amp;topic=coord&amp;highlight=1&amp;label=Standort|Feuerverbotsplakat","Karte")</f>
        <v>Karte</v>
      </c>
    </row>
    <row r="28" spans="1:11" x14ac:dyDescent="0.2">
      <c r="A28" s="1" t="s">
        <v>422</v>
      </c>
      <c r="B28" s="1" t="s">
        <v>42</v>
      </c>
      <c r="C28" s="1" t="s">
        <v>41</v>
      </c>
      <c r="D28" s="2">
        <v>1027</v>
      </c>
      <c r="E28" s="1" t="s">
        <v>234</v>
      </c>
      <c r="F28" s="4">
        <v>2734236</v>
      </c>
      <c r="G28" s="4">
        <v>1251650</v>
      </c>
      <c r="H28" s="2">
        <v>0</v>
      </c>
      <c r="I28" s="5">
        <v>1</v>
      </c>
      <c r="J28" s="5">
        <v>0</v>
      </c>
      <c r="K28" s="11" t="str">
        <f>HYPERLINK("https://www.geoportal.ch/ktsg/map/34?y=2734236&amp;x=1251650&amp;scale=2500&amp;topic=coord&amp;highlight=1&amp;label=Standort|Feuerverbotsplakat","Karte")</f>
        <v>Karte</v>
      </c>
    </row>
    <row r="29" spans="1:11" x14ac:dyDescent="0.2">
      <c r="A29" s="1" t="s">
        <v>422</v>
      </c>
      <c r="B29" s="1" t="s">
        <v>42</v>
      </c>
      <c r="C29" s="1" t="s">
        <v>41</v>
      </c>
      <c r="D29" s="2">
        <v>1028</v>
      </c>
      <c r="E29" s="1" t="s">
        <v>233</v>
      </c>
      <c r="F29" s="4">
        <v>2733829</v>
      </c>
      <c r="G29" s="4">
        <v>1251152</v>
      </c>
      <c r="H29" s="2">
        <v>0</v>
      </c>
      <c r="I29" s="5">
        <v>1</v>
      </c>
      <c r="J29" s="5">
        <v>0</v>
      </c>
      <c r="K29" s="11" t="str">
        <f>HYPERLINK("https://www.geoportal.ch/ktsg/map/34?y=2733829&amp;x=1251152&amp;scale=2500&amp;topic=coord&amp;highlight=1&amp;label=Standort|Feuerverbotsplakat","Karte")</f>
        <v>Karte</v>
      </c>
    </row>
    <row r="30" spans="1:11" x14ac:dyDescent="0.2">
      <c r="A30" s="1" t="s">
        <v>422</v>
      </c>
      <c r="B30" s="1" t="s">
        <v>42</v>
      </c>
      <c r="C30" s="1" t="s">
        <v>41</v>
      </c>
      <c r="D30" s="2">
        <v>1029</v>
      </c>
      <c r="E30" s="1" t="s">
        <v>232</v>
      </c>
      <c r="F30" s="4">
        <v>2733746</v>
      </c>
      <c r="G30" s="4">
        <v>1250708</v>
      </c>
      <c r="H30" s="2">
        <v>0</v>
      </c>
      <c r="I30" s="5">
        <v>1</v>
      </c>
      <c r="J30" s="5">
        <v>0</v>
      </c>
      <c r="K30" s="11" t="str">
        <f>HYPERLINK("https://www.geoportal.ch/ktsg/map/34?y=2733746&amp;x=1250708&amp;scale=2500&amp;topic=coord&amp;highlight=1&amp;label=Standort|Feuerverbotsplakat","Karte")</f>
        <v>Karte</v>
      </c>
    </row>
    <row r="31" spans="1:11" x14ac:dyDescent="0.2">
      <c r="A31" s="1" t="s">
        <v>422</v>
      </c>
      <c r="B31" s="1" t="s">
        <v>42</v>
      </c>
      <c r="C31" s="1" t="s">
        <v>41</v>
      </c>
      <c r="D31" s="2">
        <v>1030</v>
      </c>
      <c r="E31" s="1" t="s">
        <v>231</v>
      </c>
      <c r="F31" s="4">
        <v>2735340</v>
      </c>
      <c r="G31" s="4">
        <v>1250603</v>
      </c>
      <c r="H31" s="2">
        <v>0</v>
      </c>
      <c r="I31" s="5">
        <v>1</v>
      </c>
      <c r="J31" s="5">
        <v>0</v>
      </c>
      <c r="K31" s="11" t="str">
        <f>HYPERLINK("https://www.geoportal.ch/ktsg/map/34?y=2735340&amp;x=1250603&amp;scale=2500&amp;topic=coord&amp;highlight=1&amp;label=Standort|Feuerverbotsplakat","Karte")</f>
        <v>Karte</v>
      </c>
    </row>
    <row r="32" spans="1:11" x14ac:dyDescent="0.2">
      <c r="A32" s="1" t="s">
        <v>422</v>
      </c>
      <c r="B32" s="1" t="s">
        <v>42</v>
      </c>
      <c r="C32" s="1" t="s">
        <v>41</v>
      </c>
      <c r="D32" s="2">
        <v>1031</v>
      </c>
      <c r="E32" s="1" t="s">
        <v>230</v>
      </c>
      <c r="F32" s="4">
        <v>2734841</v>
      </c>
      <c r="G32" s="4">
        <v>1250212</v>
      </c>
      <c r="H32" s="2">
        <v>0</v>
      </c>
      <c r="I32" s="5">
        <v>1</v>
      </c>
      <c r="J32" s="5">
        <v>0</v>
      </c>
      <c r="K32" s="11" t="str">
        <f>HYPERLINK("https://www.geoportal.ch/ktsg/map/34?y=2734841&amp;x=1250212&amp;scale=2500&amp;topic=coord&amp;highlight=1&amp;label=Standort|Feuerverbotsplakat","Karte")</f>
        <v>Karte</v>
      </c>
    </row>
    <row r="33" spans="1:11" x14ac:dyDescent="0.2">
      <c r="A33" s="1" t="s">
        <v>422</v>
      </c>
      <c r="B33" s="1" t="s">
        <v>42</v>
      </c>
      <c r="C33" s="1" t="s">
        <v>41</v>
      </c>
      <c r="D33" s="2">
        <v>1032</v>
      </c>
      <c r="E33" s="1" t="s">
        <v>599</v>
      </c>
      <c r="F33" s="4">
        <v>2734705</v>
      </c>
      <c r="G33" s="4">
        <v>1250056</v>
      </c>
      <c r="H33" s="2">
        <v>0</v>
      </c>
      <c r="I33" s="5">
        <v>1</v>
      </c>
      <c r="J33" s="5">
        <v>0</v>
      </c>
      <c r="K33" s="11" t="str">
        <f>HYPERLINK("https://www.geoportal.ch/ktsg/map/34?y=2734705&amp;x=1250056&amp;scale=2500&amp;topic=coord&amp;highlight=1&amp;label=Standort|Feuerverbotsplakat","Karte")</f>
        <v>Karte</v>
      </c>
    </row>
    <row r="34" spans="1:11" x14ac:dyDescent="0.2">
      <c r="A34" s="1" t="s">
        <v>422</v>
      </c>
      <c r="B34" s="1" t="s">
        <v>32</v>
      </c>
      <c r="C34" s="1" t="s">
        <v>49</v>
      </c>
      <c r="D34" s="2">
        <v>1033</v>
      </c>
      <c r="E34" s="1" t="s">
        <v>268</v>
      </c>
      <c r="F34" s="4">
        <v>2742861</v>
      </c>
      <c r="G34" s="4">
        <v>1256310</v>
      </c>
      <c r="H34" s="2">
        <v>0</v>
      </c>
      <c r="I34" s="5">
        <v>1</v>
      </c>
      <c r="J34" s="5">
        <v>0</v>
      </c>
      <c r="K34" s="11" t="str">
        <f>HYPERLINK("https://www.geoportal.ch/ktsg/map/34?y=2742861&amp;x=1256310&amp;scale=2500&amp;topic=coord&amp;highlight=1&amp;label=Standort|Feuerverbotsplakat","Karte")</f>
        <v>Karte</v>
      </c>
    </row>
    <row r="35" spans="1:11" x14ac:dyDescent="0.2">
      <c r="A35" s="1" t="s">
        <v>422</v>
      </c>
      <c r="B35" s="1" t="s">
        <v>32</v>
      </c>
      <c r="C35" s="1" t="s">
        <v>49</v>
      </c>
      <c r="D35" s="2">
        <v>1034</v>
      </c>
      <c r="E35" s="1" t="s">
        <v>600</v>
      </c>
      <c r="F35" s="4">
        <v>2742859</v>
      </c>
      <c r="G35" s="4">
        <v>1256140</v>
      </c>
      <c r="H35" s="2">
        <v>0</v>
      </c>
      <c r="I35" s="5">
        <v>1</v>
      </c>
      <c r="J35" s="5">
        <v>0</v>
      </c>
      <c r="K35" s="11" t="str">
        <f>HYPERLINK("https://www.geoportal.ch/ktsg/map/34?y=2742859&amp;x=1256140&amp;scale=2500&amp;topic=coord&amp;highlight=1&amp;label=Standort|Feuerverbotsplakat","Karte")</f>
        <v>Karte</v>
      </c>
    </row>
    <row r="36" spans="1:11" x14ac:dyDescent="0.2">
      <c r="A36" s="1" t="s">
        <v>422</v>
      </c>
      <c r="B36" s="1" t="s">
        <v>32</v>
      </c>
      <c r="C36" s="1" t="s">
        <v>49</v>
      </c>
      <c r="D36" s="2">
        <v>1035</v>
      </c>
      <c r="E36" s="1" t="s">
        <v>601</v>
      </c>
      <c r="F36" s="4">
        <v>2742269</v>
      </c>
      <c r="G36" s="4">
        <v>1255960</v>
      </c>
      <c r="H36" s="2">
        <v>0</v>
      </c>
      <c r="I36" s="5">
        <v>1</v>
      </c>
      <c r="J36" s="5">
        <v>0</v>
      </c>
      <c r="K36" s="11" t="str">
        <f>HYPERLINK("https://www.geoportal.ch/ktsg/map/34?y=2742269&amp;x=1255960&amp;scale=2500&amp;topic=coord&amp;highlight=1&amp;label=Standort|Feuerverbotsplakat","Karte")</f>
        <v>Karte</v>
      </c>
    </row>
    <row r="37" spans="1:11" x14ac:dyDescent="0.2">
      <c r="A37" s="1" t="s">
        <v>422</v>
      </c>
      <c r="B37" s="1" t="s">
        <v>32</v>
      </c>
      <c r="C37" s="1" t="s">
        <v>49</v>
      </c>
      <c r="D37" s="2">
        <v>1036</v>
      </c>
      <c r="E37" s="1" t="s">
        <v>602</v>
      </c>
      <c r="F37" s="4">
        <v>2742655</v>
      </c>
      <c r="G37" s="4">
        <v>1255919</v>
      </c>
      <c r="H37" s="2">
        <v>0</v>
      </c>
      <c r="I37" s="5">
        <v>1</v>
      </c>
      <c r="J37" s="5">
        <v>0</v>
      </c>
      <c r="K37" s="11" t="str">
        <f>HYPERLINK("https://www.geoportal.ch/ktsg/map/34?y=2742655&amp;x=1255919&amp;scale=2500&amp;topic=coord&amp;highlight=1&amp;label=Standort|Feuerverbotsplakat","Karte")</f>
        <v>Karte</v>
      </c>
    </row>
    <row r="38" spans="1:11" x14ac:dyDescent="0.2">
      <c r="A38" s="1" t="s">
        <v>422</v>
      </c>
      <c r="B38" s="1" t="s">
        <v>32</v>
      </c>
      <c r="C38" s="1" t="s">
        <v>49</v>
      </c>
      <c r="D38" s="2">
        <v>1037</v>
      </c>
      <c r="E38" s="1" t="s">
        <v>210</v>
      </c>
      <c r="F38" s="4">
        <v>2742549</v>
      </c>
      <c r="G38" s="4">
        <v>1254616</v>
      </c>
      <c r="H38" s="2">
        <v>0</v>
      </c>
      <c r="I38" s="5">
        <v>1</v>
      </c>
      <c r="J38" s="5">
        <v>0</v>
      </c>
      <c r="K38" s="11" t="str">
        <f>HYPERLINK("https://www.geoportal.ch/ktsg/map/34?y=2742549&amp;x=1254616&amp;scale=2500&amp;topic=coord&amp;highlight=1&amp;label=Standort|Feuerverbotsplakat","Karte")</f>
        <v>Karte</v>
      </c>
    </row>
    <row r="39" spans="1:11" x14ac:dyDescent="0.2">
      <c r="A39" s="1" t="s">
        <v>422</v>
      </c>
      <c r="B39" s="1" t="s">
        <v>32</v>
      </c>
      <c r="C39" s="1" t="s">
        <v>33</v>
      </c>
      <c r="D39" s="2">
        <v>1038</v>
      </c>
      <c r="E39" s="1" t="s">
        <v>211</v>
      </c>
      <c r="F39" s="4">
        <v>2741573</v>
      </c>
      <c r="G39" s="4">
        <v>1255265</v>
      </c>
      <c r="H39" s="2">
        <v>0</v>
      </c>
      <c r="I39" s="5">
        <v>0</v>
      </c>
      <c r="J39" s="5">
        <v>1</v>
      </c>
      <c r="K39" s="11" t="str">
        <f>HYPERLINK("https://www.geoportal.ch/ktsg/map/34?y=2741573&amp;x=1255265&amp;scale=2500&amp;topic=coord&amp;highlight=1&amp;label=Standort|Feuerverbotsplakat","Karte")</f>
        <v>Karte</v>
      </c>
    </row>
    <row r="40" spans="1:11" x14ac:dyDescent="0.2">
      <c r="A40" s="1" t="s">
        <v>422</v>
      </c>
      <c r="B40" s="1" t="s">
        <v>32</v>
      </c>
      <c r="C40" s="1" t="s">
        <v>924</v>
      </c>
      <c r="D40" s="2">
        <v>1039</v>
      </c>
      <c r="E40" s="1" t="s">
        <v>210</v>
      </c>
      <c r="F40" s="4">
        <v>2742525</v>
      </c>
      <c r="G40" s="4">
        <v>1254939</v>
      </c>
      <c r="H40" s="2">
        <v>0</v>
      </c>
      <c r="I40" s="5">
        <v>1</v>
      </c>
      <c r="J40" s="5">
        <v>0</v>
      </c>
      <c r="K40" s="11" t="str">
        <f>HYPERLINK("https://www.geoportal.ch/ktsg/map/34?y=2742525&amp;x=1254939&amp;scale=2500&amp;topic=coord&amp;highlight=1&amp;label=Standort|Feuerverbotsplakat","Karte")</f>
        <v>Karte</v>
      </c>
    </row>
    <row r="41" spans="1:11" x14ac:dyDescent="0.2">
      <c r="A41" s="1" t="s">
        <v>422</v>
      </c>
      <c r="B41" s="1" t="s">
        <v>29</v>
      </c>
      <c r="C41" s="1" t="s">
        <v>480</v>
      </c>
      <c r="D41" s="2">
        <v>1040</v>
      </c>
      <c r="E41" s="1" t="s">
        <v>207</v>
      </c>
      <c r="F41" s="4">
        <v>2753237</v>
      </c>
      <c r="G41" s="4">
        <v>1259062</v>
      </c>
      <c r="H41" s="2">
        <v>0</v>
      </c>
      <c r="I41" s="5">
        <v>1</v>
      </c>
      <c r="J41" s="5">
        <v>1</v>
      </c>
      <c r="K41" s="11" t="str">
        <f>HYPERLINK("https://www.geoportal.ch/ktsg/map/34?y=2753237&amp;x=1259062&amp;scale=2500&amp;topic=coord&amp;highlight=1&amp;label=Standort|Feuerverbotsplakat","Karte")</f>
        <v>Karte</v>
      </c>
    </row>
    <row r="42" spans="1:11" x14ac:dyDescent="0.2">
      <c r="A42" s="6" t="s">
        <v>422</v>
      </c>
      <c r="B42" s="1" t="s">
        <v>29</v>
      </c>
      <c r="C42" s="1" t="s">
        <v>480</v>
      </c>
      <c r="D42" s="2">
        <v>1041</v>
      </c>
      <c r="E42" s="1" t="s">
        <v>464</v>
      </c>
      <c r="F42" s="4">
        <v>2751600</v>
      </c>
      <c r="G42" s="4">
        <v>1259370</v>
      </c>
      <c r="H42" s="2">
        <v>0</v>
      </c>
      <c r="I42" s="5">
        <v>1</v>
      </c>
      <c r="J42" s="5">
        <v>0</v>
      </c>
      <c r="K42" s="11" t="str">
        <f>HYPERLINK("https://www.geoportal.ch/ktsg/map/34?y=2751600&amp;x=1259370&amp;scale=2500&amp;topic=coord&amp;highlight=1&amp;label=Standort|Feuerverbotsplakat","Karte")</f>
        <v>Karte</v>
      </c>
    </row>
    <row r="43" spans="1:11" x14ac:dyDescent="0.2">
      <c r="A43" s="1" t="s">
        <v>422</v>
      </c>
      <c r="B43" s="1" t="s">
        <v>51</v>
      </c>
      <c r="C43" s="1" t="s">
        <v>50</v>
      </c>
      <c r="D43" s="2">
        <v>1042</v>
      </c>
      <c r="E43" s="1" t="s">
        <v>261</v>
      </c>
      <c r="F43" s="4">
        <v>2734162</v>
      </c>
      <c r="G43" s="4">
        <v>1254583</v>
      </c>
      <c r="H43" s="2">
        <v>0</v>
      </c>
      <c r="I43" s="5">
        <v>1</v>
      </c>
      <c r="J43" s="5">
        <v>0</v>
      </c>
      <c r="K43" s="11" t="str">
        <f>HYPERLINK("https://www.geoportal.ch/ktsg/map/34?y=2734162&amp;x=1254583&amp;scale=2500&amp;topic=coord&amp;highlight=1&amp;label=Standort|Feuerverbotsplakat","Karte")</f>
        <v>Karte</v>
      </c>
    </row>
    <row r="44" spans="1:11" x14ac:dyDescent="0.2">
      <c r="A44" s="1" t="s">
        <v>422</v>
      </c>
      <c r="B44" s="1" t="s">
        <v>51</v>
      </c>
      <c r="C44" s="1" t="s">
        <v>50</v>
      </c>
      <c r="D44" s="2">
        <v>1043</v>
      </c>
      <c r="E44" s="1" t="s">
        <v>259</v>
      </c>
      <c r="F44" s="4">
        <v>2737022</v>
      </c>
      <c r="G44" s="4">
        <v>1252410</v>
      </c>
      <c r="H44" s="2">
        <v>0</v>
      </c>
      <c r="I44" s="5">
        <v>1</v>
      </c>
      <c r="J44" s="5">
        <v>0</v>
      </c>
      <c r="K44" s="11" t="str">
        <f>HYPERLINK("https://www.geoportal.ch/ktsg/map/34?y=2737022&amp;x=1252410&amp;scale=2500&amp;topic=coord&amp;highlight=1&amp;label=Standort|Feuerverbotsplakat","Karte")</f>
        <v>Karte</v>
      </c>
    </row>
    <row r="45" spans="1:11" x14ac:dyDescent="0.2">
      <c r="A45" s="1" t="s">
        <v>422</v>
      </c>
      <c r="B45" s="1" t="s">
        <v>51</v>
      </c>
      <c r="C45" s="1" t="s">
        <v>50</v>
      </c>
      <c r="D45" s="2">
        <v>1044</v>
      </c>
      <c r="E45" s="1" t="s">
        <v>259</v>
      </c>
      <c r="F45" s="4">
        <v>2737600</v>
      </c>
      <c r="G45" s="4">
        <v>1252489</v>
      </c>
      <c r="H45" s="2">
        <v>0</v>
      </c>
      <c r="I45" s="5">
        <v>1</v>
      </c>
      <c r="J45" s="5">
        <v>0</v>
      </c>
      <c r="K45" s="11" t="str">
        <f>HYPERLINK("https://www.geoportal.ch/ktsg/map/34?y=2737600&amp;x=1252489&amp;scale=2500&amp;topic=coord&amp;highlight=1&amp;label=Standort|Feuerverbotsplakat","Karte")</f>
        <v>Karte</v>
      </c>
    </row>
    <row r="46" spans="1:11" x14ac:dyDescent="0.2">
      <c r="A46" s="1" t="s">
        <v>422</v>
      </c>
      <c r="B46" s="1" t="s">
        <v>51</v>
      </c>
      <c r="C46" s="1" t="s">
        <v>50</v>
      </c>
      <c r="D46" s="2">
        <v>1045</v>
      </c>
      <c r="E46" s="1" t="s">
        <v>258</v>
      </c>
      <c r="F46" s="4">
        <v>2738273</v>
      </c>
      <c r="G46" s="4">
        <v>1253806</v>
      </c>
      <c r="H46" s="2">
        <v>0</v>
      </c>
      <c r="I46" s="5">
        <v>1</v>
      </c>
      <c r="J46" s="5">
        <v>0</v>
      </c>
      <c r="K46" s="11" t="str">
        <f>HYPERLINK("https://www.geoportal.ch/ktsg/map/34?y=2738273&amp;x=1253806&amp;scale=2500&amp;topic=coord&amp;highlight=1&amp;label=Standort|Feuerverbotsplakat","Karte")</f>
        <v>Karte</v>
      </c>
    </row>
    <row r="47" spans="1:11" x14ac:dyDescent="0.2">
      <c r="A47" s="1" t="s">
        <v>422</v>
      </c>
      <c r="B47" s="1" t="s">
        <v>51</v>
      </c>
      <c r="C47" s="1" t="s">
        <v>50</v>
      </c>
      <c r="D47" s="2">
        <v>1046</v>
      </c>
      <c r="E47" s="1" t="s">
        <v>257</v>
      </c>
      <c r="F47" s="4">
        <v>2739626</v>
      </c>
      <c r="G47" s="4">
        <v>1253554</v>
      </c>
      <c r="H47" s="2">
        <v>0</v>
      </c>
      <c r="I47" s="5">
        <v>1</v>
      </c>
      <c r="J47" s="5">
        <v>0</v>
      </c>
      <c r="K47" s="11" t="str">
        <f>HYPERLINK("https://www.geoportal.ch/ktsg/map/34?y=2739626&amp;x=1253554&amp;scale=2500&amp;topic=coord&amp;highlight=1&amp;label=Standort|Feuerverbotsplakat","Karte")</f>
        <v>Karte</v>
      </c>
    </row>
    <row r="48" spans="1:11" x14ac:dyDescent="0.2">
      <c r="A48" s="1" t="s">
        <v>422</v>
      </c>
      <c r="B48" s="1" t="s">
        <v>51</v>
      </c>
      <c r="C48" s="1" t="s">
        <v>50</v>
      </c>
      <c r="D48" s="2">
        <v>1047</v>
      </c>
      <c r="E48" s="1" t="s">
        <v>257</v>
      </c>
      <c r="F48" s="4">
        <v>2739734</v>
      </c>
      <c r="G48" s="4">
        <v>1253816</v>
      </c>
      <c r="H48" s="2">
        <v>0</v>
      </c>
      <c r="I48" s="5">
        <v>1</v>
      </c>
      <c r="J48" s="5">
        <v>0</v>
      </c>
      <c r="K48" s="11" t="str">
        <f>HYPERLINK("https://www.geoportal.ch/ktsg/map/34?y=2739734&amp;x=1253816&amp;scale=2500&amp;topic=coord&amp;highlight=1&amp;label=Standort|Feuerverbotsplakat","Karte")</f>
        <v>Karte</v>
      </c>
    </row>
    <row r="49" spans="1:11" x14ac:dyDescent="0.2">
      <c r="A49" s="1" t="s">
        <v>422</v>
      </c>
      <c r="B49" s="1" t="s">
        <v>51</v>
      </c>
      <c r="C49" s="1" t="s">
        <v>50</v>
      </c>
      <c r="D49" s="2">
        <v>1048</v>
      </c>
      <c r="E49" s="1" t="s">
        <v>267</v>
      </c>
      <c r="F49" s="4">
        <v>2738830</v>
      </c>
      <c r="G49" s="4">
        <v>1252265</v>
      </c>
      <c r="H49" s="2">
        <v>0</v>
      </c>
      <c r="I49" s="5">
        <v>1</v>
      </c>
      <c r="J49" s="5">
        <v>0</v>
      </c>
      <c r="K49" s="11" t="str">
        <f>HYPERLINK("https://www.geoportal.ch/ktsg/map/34?y=2738830&amp;x=1252265&amp;scale=2500&amp;topic=coord&amp;highlight=1&amp;label=Standort|Feuerverbotsplakat","Karte")</f>
        <v>Karte</v>
      </c>
    </row>
    <row r="50" spans="1:11" x14ac:dyDescent="0.2">
      <c r="A50" s="1" t="s">
        <v>422</v>
      </c>
      <c r="B50" s="1" t="s">
        <v>51</v>
      </c>
      <c r="C50" s="1" t="s">
        <v>49</v>
      </c>
      <c r="D50" s="2">
        <v>1049</v>
      </c>
      <c r="E50" s="1" t="s">
        <v>266</v>
      </c>
      <c r="F50" s="4">
        <v>2739855</v>
      </c>
      <c r="G50" s="4">
        <v>1251300</v>
      </c>
      <c r="H50" s="2">
        <v>0</v>
      </c>
      <c r="I50" s="5">
        <v>1</v>
      </c>
      <c r="J50" s="5">
        <v>0</v>
      </c>
      <c r="K50" s="11" t="str">
        <f>HYPERLINK("https://www.geoportal.ch/ktsg/map/34?y=2739855&amp;x=1251300&amp;scale=2500&amp;topic=coord&amp;highlight=1&amp;label=Standort|Feuerverbotsplakat","Karte")</f>
        <v>Karte</v>
      </c>
    </row>
    <row r="51" spans="1:11" x14ac:dyDescent="0.2">
      <c r="A51" s="1" t="s">
        <v>422</v>
      </c>
      <c r="B51" s="1" t="s">
        <v>469</v>
      </c>
      <c r="C51" s="1" t="s">
        <v>480</v>
      </c>
      <c r="D51" s="2">
        <v>1050</v>
      </c>
      <c r="E51" s="1" t="s">
        <v>470</v>
      </c>
      <c r="F51" s="4">
        <v>2744197</v>
      </c>
      <c r="G51" s="4">
        <v>1262026</v>
      </c>
      <c r="H51" s="2">
        <v>0</v>
      </c>
      <c r="I51" s="5">
        <v>1</v>
      </c>
      <c r="J51" s="5">
        <v>0</v>
      </c>
      <c r="K51" s="11" t="str">
        <f>HYPERLINK("https://www.geoportal.ch/ktsg/map/34?y=2744197&amp;x=1262026&amp;scale=2500&amp;topic=coord&amp;highlight=1&amp;label=Standort|Feuerverbotsplakat","Karte")</f>
        <v>Karte</v>
      </c>
    </row>
    <row r="52" spans="1:11" x14ac:dyDescent="0.2">
      <c r="A52" s="1" t="s">
        <v>422</v>
      </c>
      <c r="B52" s="1" t="s">
        <v>469</v>
      </c>
      <c r="C52" s="1" t="s">
        <v>480</v>
      </c>
      <c r="D52" s="2">
        <v>1051</v>
      </c>
      <c r="E52" s="1" t="s">
        <v>483</v>
      </c>
      <c r="F52" s="4">
        <v>2741981</v>
      </c>
      <c r="G52" s="4">
        <v>1261635</v>
      </c>
      <c r="H52" s="2">
        <v>0</v>
      </c>
      <c r="I52" s="5">
        <v>1</v>
      </c>
      <c r="J52" s="5">
        <v>0</v>
      </c>
      <c r="K52" s="11" t="str">
        <f>HYPERLINK("https://www.geoportal.ch/ktsg/map/34?y=2741981&amp;x=1261635&amp;scale=2500&amp;topic=coord&amp;highlight=1&amp;label=Standort|Feuerverbotsplakat","Karte")</f>
        <v>Karte</v>
      </c>
    </row>
    <row r="53" spans="1:11" x14ac:dyDescent="0.2">
      <c r="A53" s="1" t="s">
        <v>422</v>
      </c>
      <c r="B53" s="1" t="s">
        <v>469</v>
      </c>
      <c r="C53" s="1" t="s">
        <v>480</v>
      </c>
      <c r="D53" s="2">
        <v>1052</v>
      </c>
      <c r="E53" s="1" t="s">
        <v>484</v>
      </c>
      <c r="F53" s="4">
        <v>2742262</v>
      </c>
      <c r="G53" s="4">
        <v>1263834</v>
      </c>
      <c r="H53" s="2">
        <v>0</v>
      </c>
      <c r="I53" s="5">
        <v>1</v>
      </c>
      <c r="J53" s="5">
        <v>0</v>
      </c>
      <c r="K53" s="11" t="str">
        <f>HYPERLINK("https://www.geoportal.ch/ktsg/map/34?y=2742262&amp;x=1263834&amp;scale=2500&amp;topic=coord&amp;highlight=1&amp;label=Standort|Feuerverbotsplakat","Karte")</f>
        <v>Karte</v>
      </c>
    </row>
    <row r="54" spans="1:11" x14ac:dyDescent="0.2">
      <c r="A54" s="1" t="s">
        <v>422</v>
      </c>
      <c r="B54" s="1" t="s">
        <v>469</v>
      </c>
      <c r="C54" s="1" t="s">
        <v>480</v>
      </c>
      <c r="D54" s="2">
        <v>1053</v>
      </c>
      <c r="E54" s="1" t="s">
        <v>603</v>
      </c>
      <c r="F54" s="4">
        <v>2740879</v>
      </c>
      <c r="G54" s="4">
        <v>1262538</v>
      </c>
      <c r="H54" s="2">
        <v>0</v>
      </c>
      <c r="I54" s="5">
        <v>1</v>
      </c>
      <c r="J54" s="5">
        <v>0</v>
      </c>
      <c r="K54" s="11" t="str">
        <f>HYPERLINK("https://www.geoportal.ch/ktsg/map/34?y=2740879&amp;x=1262538&amp;scale=2500&amp;topic=coord&amp;highlight=1&amp;label=Standort|Feuerverbotsplakat","Karte")</f>
        <v>Karte</v>
      </c>
    </row>
    <row r="55" spans="1:11" x14ac:dyDescent="0.2">
      <c r="A55" s="1" t="s">
        <v>422</v>
      </c>
      <c r="B55" s="1" t="s">
        <v>44</v>
      </c>
      <c r="C55" s="1" t="s">
        <v>45</v>
      </c>
      <c r="D55" s="2">
        <v>1054</v>
      </c>
      <c r="E55" s="1" t="s">
        <v>251</v>
      </c>
      <c r="F55" s="4">
        <v>2722566</v>
      </c>
      <c r="G55" s="4">
        <v>1256258</v>
      </c>
      <c r="H55" s="2">
        <v>0</v>
      </c>
      <c r="I55" s="5">
        <v>1</v>
      </c>
      <c r="J55" s="5">
        <v>0</v>
      </c>
      <c r="K55" s="11" t="str">
        <f>HYPERLINK("https://www.geoportal.ch/ktsg/map/34?y=2722566&amp;x=1256258&amp;scale=2500&amp;topic=coord&amp;highlight=1&amp;label=Standort|Feuerverbotsplakat","Karte")</f>
        <v>Karte</v>
      </c>
    </row>
    <row r="56" spans="1:11" x14ac:dyDescent="0.2">
      <c r="A56" s="1" t="s">
        <v>422</v>
      </c>
      <c r="B56" s="1" t="s">
        <v>44</v>
      </c>
      <c r="C56" s="1" t="s">
        <v>45</v>
      </c>
      <c r="D56" s="2">
        <v>1055</v>
      </c>
      <c r="E56" s="1" t="s">
        <v>249</v>
      </c>
      <c r="F56" s="4">
        <v>2724183</v>
      </c>
      <c r="G56" s="4">
        <v>1254811</v>
      </c>
      <c r="H56" s="2">
        <v>0</v>
      </c>
      <c r="I56" s="5">
        <v>1</v>
      </c>
      <c r="J56" s="5">
        <v>0</v>
      </c>
      <c r="K56" s="11" t="str">
        <f>HYPERLINK("https://www.geoportal.ch/ktsg/map/34?y=2724183&amp;x=1254811&amp;scale=2500&amp;topic=coord&amp;highlight=1&amp;label=Standort|Feuerverbotsplakat","Karte")</f>
        <v>Karte</v>
      </c>
    </row>
    <row r="57" spans="1:11" x14ac:dyDescent="0.2">
      <c r="A57" s="1" t="s">
        <v>422</v>
      </c>
      <c r="B57" s="1" t="s">
        <v>44</v>
      </c>
      <c r="C57" s="1" t="s">
        <v>45</v>
      </c>
      <c r="D57" s="2">
        <v>1056</v>
      </c>
      <c r="E57" s="1" t="s">
        <v>249</v>
      </c>
      <c r="F57" s="4">
        <v>2724375</v>
      </c>
      <c r="G57" s="4">
        <v>1255317</v>
      </c>
      <c r="H57" s="2">
        <v>0</v>
      </c>
      <c r="I57" s="5">
        <v>1</v>
      </c>
      <c r="J57" s="5">
        <v>0</v>
      </c>
      <c r="K57" s="11" t="str">
        <f>HYPERLINK("https://www.geoportal.ch/ktsg/map/34?y=2724375&amp;x=1255317&amp;scale=2500&amp;topic=coord&amp;highlight=1&amp;label=Standort|Feuerverbotsplakat","Karte")</f>
        <v>Karte</v>
      </c>
    </row>
    <row r="58" spans="1:11" x14ac:dyDescent="0.2">
      <c r="A58" s="1" t="s">
        <v>422</v>
      </c>
      <c r="B58" s="1" t="s">
        <v>44</v>
      </c>
      <c r="C58" s="1" t="s">
        <v>45</v>
      </c>
      <c r="D58" s="2">
        <v>1057</v>
      </c>
      <c r="E58" s="1" t="s">
        <v>243</v>
      </c>
      <c r="F58" s="4">
        <v>2725488</v>
      </c>
      <c r="G58" s="4">
        <v>1253027</v>
      </c>
      <c r="H58" s="2">
        <v>0</v>
      </c>
      <c r="I58" s="5">
        <v>1</v>
      </c>
      <c r="J58" s="5">
        <v>0</v>
      </c>
      <c r="K58" s="11" t="str">
        <f>HYPERLINK("https://www.geoportal.ch/ktsg/map/34?y=2725488&amp;x=1253027&amp;scale=2500&amp;topic=coord&amp;highlight=1&amp;label=Standort|Feuerverbotsplakat","Karte")</f>
        <v>Karte</v>
      </c>
    </row>
    <row r="59" spans="1:11" x14ac:dyDescent="0.2">
      <c r="A59" s="1" t="s">
        <v>422</v>
      </c>
      <c r="B59" s="1" t="s">
        <v>44</v>
      </c>
      <c r="C59" s="1" t="s">
        <v>45</v>
      </c>
      <c r="D59" s="2">
        <v>1058</v>
      </c>
      <c r="E59" s="1" t="s">
        <v>406</v>
      </c>
      <c r="F59" s="4">
        <v>2726457</v>
      </c>
      <c r="G59" s="4">
        <v>1252929</v>
      </c>
      <c r="H59" s="2">
        <v>0</v>
      </c>
      <c r="I59" s="5">
        <v>1</v>
      </c>
      <c r="J59" s="5">
        <v>0</v>
      </c>
      <c r="K59" s="11" t="str">
        <f>HYPERLINK("https://www.geoportal.ch/ktsg/map/34?y=2726457&amp;x=1252929&amp;scale=2500&amp;topic=coord&amp;highlight=1&amp;label=Standort|Feuerverbotsplakat","Karte")</f>
        <v>Karte</v>
      </c>
    </row>
    <row r="60" spans="1:11" x14ac:dyDescent="0.2">
      <c r="A60" s="6" t="s">
        <v>422</v>
      </c>
      <c r="B60" s="6" t="s">
        <v>25</v>
      </c>
      <c r="C60" s="6" t="s">
        <v>26</v>
      </c>
      <c r="D60" s="2">
        <v>1059</v>
      </c>
      <c r="E60" s="1" t="s">
        <v>504</v>
      </c>
      <c r="F60" s="4">
        <v>2720518</v>
      </c>
      <c r="G60" s="4">
        <v>1252777</v>
      </c>
      <c r="H60" s="2">
        <v>0</v>
      </c>
      <c r="I60" s="5">
        <v>1</v>
      </c>
      <c r="J60" s="5">
        <v>0</v>
      </c>
      <c r="K60" s="11" t="str">
        <f>HYPERLINK("https://www.geoportal.ch/ktsg/map/34?y=2720518&amp;x=1252777&amp;scale=2500&amp;topic=coord&amp;highlight=1&amp;label=Standort|Feuerverbotsplakat","Karte")</f>
        <v>Karte</v>
      </c>
    </row>
    <row r="61" spans="1:11" x14ac:dyDescent="0.2">
      <c r="A61" s="6" t="s">
        <v>422</v>
      </c>
      <c r="B61" s="6" t="s">
        <v>25</v>
      </c>
      <c r="C61" s="6" t="s">
        <v>26</v>
      </c>
      <c r="D61" s="2">
        <v>1060</v>
      </c>
      <c r="E61" s="1" t="s">
        <v>505</v>
      </c>
      <c r="F61" s="4">
        <v>2718644</v>
      </c>
      <c r="G61" s="4">
        <v>1251812</v>
      </c>
      <c r="H61" s="2">
        <v>0</v>
      </c>
      <c r="I61" s="5">
        <v>1</v>
      </c>
      <c r="J61" s="5">
        <v>0</v>
      </c>
      <c r="K61" s="11" t="str">
        <f>HYPERLINK("https://www.geoportal.ch/ktsg/map/34?y=2718644&amp;x=1251812&amp;scale=2500&amp;topic=coord&amp;highlight=1&amp;label=Standort|Feuerverbotsplakat","Karte")</f>
        <v>Karte</v>
      </c>
    </row>
    <row r="62" spans="1:11" x14ac:dyDescent="0.2">
      <c r="A62" s="6" t="s">
        <v>422</v>
      </c>
      <c r="B62" s="6" t="s">
        <v>25</v>
      </c>
      <c r="C62" s="6" t="s">
        <v>26</v>
      </c>
      <c r="D62" s="2">
        <v>1061</v>
      </c>
      <c r="E62" s="1" t="s">
        <v>919</v>
      </c>
      <c r="F62" s="4">
        <v>2719582</v>
      </c>
      <c r="G62" s="4">
        <v>1253893</v>
      </c>
      <c r="H62" s="2">
        <v>0</v>
      </c>
      <c r="I62" s="5">
        <v>1</v>
      </c>
      <c r="J62" s="5">
        <v>0</v>
      </c>
      <c r="K62" s="11" t="str">
        <f>HYPERLINK("https://www.geoportal.ch/ktsg/map/34?y=2719582&amp;x=1253893&amp;scale=2500&amp;topic=coord&amp;highlight=1&amp;label=Standort|Feuerverbotsplakat","Karte")</f>
        <v>Karte</v>
      </c>
    </row>
    <row r="63" spans="1:11" x14ac:dyDescent="0.2">
      <c r="A63" s="6" t="s">
        <v>422</v>
      </c>
      <c r="B63" s="6" t="s">
        <v>25</v>
      </c>
      <c r="C63" s="6" t="s">
        <v>26</v>
      </c>
      <c r="D63" s="2">
        <v>1062</v>
      </c>
      <c r="E63" s="1" t="s">
        <v>604</v>
      </c>
      <c r="F63" s="4">
        <v>2719848</v>
      </c>
      <c r="G63" s="4">
        <v>1253906</v>
      </c>
      <c r="H63" s="2">
        <v>0</v>
      </c>
      <c r="I63" s="5">
        <v>1</v>
      </c>
      <c r="J63" s="5">
        <v>0</v>
      </c>
      <c r="K63" s="11" t="str">
        <f>HYPERLINK("https://www.geoportal.ch/ktsg/map/34?y=2719848&amp;x=1253906&amp;scale=2500&amp;topic=coord&amp;highlight=1&amp;label=Standort|Feuerverbotsplakat","Karte")</f>
        <v>Karte</v>
      </c>
    </row>
    <row r="64" spans="1:11" x14ac:dyDescent="0.2">
      <c r="A64" s="6" t="s">
        <v>422</v>
      </c>
      <c r="B64" s="6" t="s">
        <v>25</v>
      </c>
      <c r="C64" s="6" t="s">
        <v>26</v>
      </c>
      <c r="D64" s="2">
        <v>1063</v>
      </c>
      <c r="E64" s="1" t="s">
        <v>921</v>
      </c>
      <c r="F64" s="4">
        <v>2721407</v>
      </c>
      <c r="G64" s="4">
        <v>1255110</v>
      </c>
      <c r="H64" s="2">
        <v>0</v>
      </c>
      <c r="I64" s="5">
        <v>2</v>
      </c>
      <c r="J64" s="5">
        <v>1</v>
      </c>
      <c r="K64" s="11" t="str">
        <f>HYPERLINK("https://www.geoportal.ch/ktsg/map/34?y=2721407&amp;x=1255110&amp;scale=2500&amp;topic=coord&amp;highlight=1&amp;label=Standort|Feuerverbotsplakat","Karte")</f>
        <v>Karte</v>
      </c>
    </row>
    <row r="65" spans="1:11" x14ac:dyDescent="0.2">
      <c r="A65" s="6" t="s">
        <v>422</v>
      </c>
      <c r="B65" s="6" t="s">
        <v>25</v>
      </c>
      <c r="C65" s="6" t="s">
        <v>26</v>
      </c>
      <c r="D65" s="2">
        <v>1064</v>
      </c>
      <c r="E65" s="1" t="s">
        <v>922</v>
      </c>
      <c r="F65" s="4">
        <v>2722105</v>
      </c>
      <c r="G65" s="4">
        <v>1253203</v>
      </c>
      <c r="H65" s="2">
        <v>0</v>
      </c>
      <c r="I65" s="5">
        <v>2</v>
      </c>
      <c r="J65" s="5">
        <v>0</v>
      </c>
      <c r="K65" s="11" t="str">
        <f>HYPERLINK("https://www.geoportal.ch/ktsg/map/34?y=2722105&amp;x=1253203&amp;scale=2500&amp;topic=coord&amp;highlight=1&amp;label=Standort|Feuerverbotsplakat","Karte")</f>
        <v>Karte</v>
      </c>
    </row>
    <row r="66" spans="1:11" x14ac:dyDescent="0.2">
      <c r="A66" s="6" t="s">
        <v>422</v>
      </c>
      <c r="B66" s="6" t="s">
        <v>25</v>
      </c>
      <c r="C66" s="6" t="s">
        <v>26</v>
      </c>
      <c r="D66" s="2">
        <v>1065</v>
      </c>
      <c r="E66" s="1" t="s">
        <v>573</v>
      </c>
      <c r="F66" s="4">
        <v>2722062</v>
      </c>
      <c r="G66" s="4">
        <v>1252519</v>
      </c>
      <c r="H66" s="2">
        <v>0</v>
      </c>
      <c r="I66" s="5">
        <v>1</v>
      </c>
      <c r="J66" s="5">
        <v>0</v>
      </c>
      <c r="K66" s="11" t="str">
        <f>HYPERLINK("https://www.geoportal.ch/ktsg/map/34?y=2722062&amp;x=1252519&amp;scale=2500&amp;topic=coord&amp;highlight=1&amp;label=Standort|Feuerverbotsplakat","Karte")</f>
        <v>Karte</v>
      </c>
    </row>
    <row r="67" spans="1:11" x14ac:dyDescent="0.2">
      <c r="A67" s="6" t="s">
        <v>422</v>
      </c>
      <c r="B67" s="6" t="s">
        <v>25</v>
      </c>
      <c r="C67" s="6" t="s">
        <v>26</v>
      </c>
      <c r="D67" s="2">
        <v>1066</v>
      </c>
      <c r="E67" s="1" t="s">
        <v>566</v>
      </c>
      <c r="F67" s="4">
        <v>2722638</v>
      </c>
      <c r="G67" s="4">
        <v>1251888</v>
      </c>
      <c r="H67" s="2">
        <v>0</v>
      </c>
      <c r="I67" s="5">
        <v>1</v>
      </c>
      <c r="J67" s="5">
        <v>0</v>
      </c>
      <c r="K67" s="11" t="str">
        <f>HYPERLINK("https://www.geoportal.ch/ktsg/map/34?y=2722638&amp;x=1251888&amp;scale=2500&amp;topic=coord&amp;highlight=1&amp;label=Standort|Feuerverbotsplakat","Karte")</f>
        <v>Karte</v>
      </c>
    </row>
    <row r="68" spans="1:11" x14ac:dyDescent="0.2">
      <c r="A68" s="6" t="s">
        <v>422</v>
      </c>
      <c r="B68" s="6" t="s">
        <v>25</v>
      </c>
      <c r="C68" s="6" t="s">
        <v>26</v>
      </c>
      <c r="D68" s="2">
        <v>1067</v>
      </c>
      <c r="E68" s="1" t="s">
        <v>506</v>
      </c>
      <c r="F68" s="4">
        <v>2723392</v>
      </c>
      <c r="G68" s="4">
        <v>1253542</v>
      </c>
      <c r="H68" s="2">
        <v>0</v>
      </c>
      <c r="I68" s="5">
        <v>1</v>
      </c>
      <c r="J68" s="5">
        <v>0</v>
      </c>
      <c r="K68" s="11" t="str">
        <f>HYPERLINK("https://www.geoportal.ch/ktsg/map/34?y=2723392&amp;x=1253542&amp;scale=2500&amp;topic=coord&amp;highlight=1&amp;label=Standort|Feuerverbotsplakat","Karte")</f>
        <v>Karte</v>
      </c>
    </row>
    <row r="69" spans="1:11" x14ac:dyDescent="0.2">
      <c r="A69" s="6" t="s">
        <v>422</v>
      </c>
      <c r="B69" s="6" t="s">
        <v>25</v>
      </c>
      <c r="C69" s="6" t="s">
        <v>26</v>
      </c>
      <c r="D69" s="2">
        <v>1068</v>
      </c>
      <c r="E69" s="1" t="s">
        <v>507</v>
      </c>
      <c r="F69" s="4">
        <v>2723285</v>
      </c>
      <c r="G69" s="4">
        <v>1252022</v>
      </c>
      <c r="H69" s="2">
        <v>0</v>
      </c>
      <c r="I69" s="5">
        <v>1</v>
      </c>
      <c r="J69" s="5">
        <v>1</v>
      </c>
      <c r="K69" s="11" t="str">
        <f>HYPERLINK("https://www.geoportal.ch/ktsg/map/34?y=2723285&amp;x=1252022&amp;scale=2500&amp;topic=coord&amp;highlight=1&amp;label=Standort|Feuerverbotsplakat","Karte")</f>
        <v>Karte</v>
      </c>
    </row>
    <row r="70" spans="1:11" x14ac:dyDescent="0.2">
      <c r="A70" s="1" t="s">
        <v>422</v>
      </c>
      <c r="B70" s="1" t="s">
        <v>25</v>
      </c>
      <c r="C70" s="1" t="s">
        <v>26</v>
      </c>
      <c r="D70" s="2">
        <v>1069</v>
      </c>
      <c r="E70" s="1" t="s">
        <v>574</v>
      </c>
      <c r="F70" s="4">
        <v>2723792</v>
      </c>
      <c r="G70" s="4">
        <v>1253369</v>
      </c>
      <c r="H70" s="2">
        <v>0</v>
      </c>
      <c r="I70" s="5">
        <v>1</v>
      </c>
      <c r="J70" s="5">
        <v>0</v>
      </c>
      <c r="K70" s="11" t="str">
        <f>HYPERLINK("https://www.geoportal.ch/ktsg/map/34?y=2723792&amp;x=1253369&amp;scale=2500&amp;topic=coord&amp;highlight=1&amp;label=Standort|Feuerverbotsplakat","Karte")</f>
        <v>Karte</v>
      </c>
    </row>
    <row r="71" spans="1:11" x14ac:dyDescent="0.2">
      <c r="A71" s="1" t="s">
        <v>422</v>
      </c>
      <c r="B71" s="1" t="s">
        <v>25</v>
      </c>
      <c r="C71" s="1" t="s">
        <v>26</v>
      </c>
      <c r="D71" s="2">
        <v>1070</v>
      </c>
      <c r="E71" s="1" t="s">
        <v>508</v>
      </c>
      <c r="F71" s="4">
        <v>2721056</v>
      </c>
      <c r="G71" s="4">
        <v>1251552</v>
      </c>
      <c r="H71" s="2">
        <v>0</v>
      </c>
      <c r="I71" s="5">
        <v>1</v>
      </c>
      <c r="J71" s="5">
        <v>0</v>
      </c>
      <c r="K71" s="11" t="str">
        <f>HYPERLINK("https://www.geoportal.ch/ktsg/map/34?y=2721056&amp;x=1251552&amp;scale=2500&amp;topic=coord&amp;highlight=1&amp;label=Standort|Feuerverbotsplakat","Karte")</f>
        <v>Karte</v>
      </c>
    </row>
    <row r="72" spans="1:11" x14ac:dyDescent="0.2">
      <c r="A72" s="6" t="s">
        <v>422</v>
      </c>
      <c r="B72" s="1" t="s">
        <v>23</v>
      </c>
      <c r="C72" s="1" t="s">
        <v>24</v>
      </c>
      <c r="D72" s="2">
        <v>1071</v>
      </c>
      <c r="E72" s="1" t="s">
        <v>605</v>
      </c>
      <c r="F72" s="4">
        <v>2725717</v>
      </c>
      <c r="G72" s="4">
        <v>1251127</v>
      </c>
      <c r="H72" s="2">
        <v>0</v>
      </c>
      <c r="I72" s="5">
        <v>1</v>
      </c>
      <c r="J72" s="5">
        <v>0</v>
      </c>
      <c r="K72" s="11" t="str">
        <f>HYPERLINK("https://www.geoportal.ch/ktsg/map/34?y=2725717&amp;x=1251127&amp;scale=2500&amp;topic=coord&amp;highlight=1&amp;label=Standort|Feuerverbotsplakat","Karte")</f>
        <v>Karte</v>
      </c>
    </row>
    <row r="73" spans="1:11" x14ac:dyDescent="0.2">
      <c r="A73" s="1" t="s">
        <v>422</v>
      </c>
      <c r="B73" s="1" t="s">
        <v>487</v>
      </c>
      <c r="C73" s="1" t="s">
        <v>480</v>
      </c>
      <c r="D73" s="2">
        <v>1072</v>
      </c>
      <c r="E73" s="1" t="s">
        <v>509</v>
      </c>
      <c r="F73" s="4">
        <v>2751624</v>
      </c>
      <c r="G73" s="4">
        <v>1260349</v>
      </c>
      <c r="H73" s="2">
        <v>0</v>
      </c>
      <c r="I73" s="5">
        <v>1</v>
      </c>
      <c r="J73" s="5">
        <v>0</v>
      </c>
      <c r="K73" s="11" t="str">
        <f>HYPERLINK("https://www.geoportal.ch/ktsg/map/34?y=2751624&amp;x=1260349&amp;scale=2500&amp;topic=coord&amp;highlight=1&amp;label=Standort|Feuerverbotsplakat","Karte")</f>
        <v>Karte</v>
      </c>
    </row>
    <row r="74" spans="1:11" x14ac:dyDescent="0.2">
      <c r="A74" s="1" t="s">
        <v>422</v>
      </c>
      <c r="B74" s="1" t="s">
        <v>487</v>
      </c>
      <c r="C74" s="1" t="s">
        <v>9</v>
      </c>
      <c r="D74" s="2">
        <v>1073</v>
      </c>
      <c r="E74" s="1" t="s">
        <v>488</v>
      </c>
      <c r="F74" s="4">
        <v>2748823</v>
      </c>
      <c r="G74" s="4">
        <v>1259617</v>
      </c>
      <c r="H74" s="2">
        <v>0</v>
      </c>
      <c r="I74" s="5">
        <v>1</v>
      </c>
      <c r="J74" s="5">
        <v>0</v>
      </c>
      <c r="K74" s="11" t="str">
        <f>HYPERLINK("https://www.geoportal.ch/ktsg/map/34?y=2748823&amp;x=1259617&amp;scale=2500&amp;topic=coord&amp;highlight=1&amp;label=Standort|Feuerverbotsplakat","Karte")</f>
        <v>Karte</v>
      </c>
    </row>
    <row r="75" spans="1:11" x14ac:dyDescent="0.2">
      <c r="A75" s="1" t="s">
        <v>422</v>
      </c>
      <c r="B75" s="1" t="s">
        <v>487</v>
      </c>
      <c r="C75" s="1" t="s">
        <v>9</v>
      </c>
      <c r="D75" s="2">
        <v>1074</v>
      </c>
      <c r="E75" s="1" t="s">
        <v>491</v>
      </c>
      <c r="F75" s="4">
        <v>2748110</v>
      </c>
      <c r="G75" s="4">
        <v>1258209</v>
      </c>
      <c r="H75" s="2">
        <v>0</v>
      </c>
      <c r="I75" s="5">
        <v>1</v>
      </c>
      <c r="J75" s="5">
        <v>0</v>
      </c>
      <c r="K75" s="11" t="str">
        <f>HYPERLINK("https://www.geoportal.ch/ktsg/map/34?y=2748110&amp;x=1258209&amp;scale=2500&amp;topic=coord&amp;highlight=1&amp;label=Standort|Feuerverbotsplakat","Karte")</f>
        <v>Karte</v>
      </c>
    </row>
    <row r="76" spans="1:11" x14ac:dyDescent="0.2">
      <c r="A76" s="1" t="s">
        <v>422</v>
      </c>
      <c r="B76" s="1" t="s">
        <v>468</v>
      </c>
      <c r="C76" s="1" t="s">
        <v>480</v>
      </c>
      <c r="D76" s="2">
        <v>1075</v>
      </c>
      <c r="E76" s="1" t="s">
        <v>606</v>
      </c>
      <c r="F76" s="4">
        <v>2741962</v>
      </c>
      <c r="G76" s="4">
        <v>1265941</v>
      </c>
      <c r="H76" s="2">
        <v>0</v>
      </c>
      <c r="I76" s="5">
        <v>1</v>
      </c>
      <c r="J76" s="5">
        <v>0</v>
      </c>
      <c r="K76" s="11" t="str">
        <f>HYPERLINK("https://www.geoportal.ch/ktsg/map/34?y=2741962&amp;x=1265941&amp;scale=2500&amp;topic=coord&amp;highlight=1&amp;label=Standort|Feuerverbotsplakat","Karte")</f>
        <v>Karte</v>
      </c>
    </row>
    <row r="77" spans="1:11" x14ac:dyDescent="0.2">
      <c r="A77" s="1" t="s">
        <v>422</v>
      </c>
      <c r="B77" s="1" t="s">
        <v>36</v>
      </c>
      <c r="C77" s="1" t="s">
        <v>37</v>
      </c>
      <c r="D77" s="2">
        <v>1076</v>
      </c>
      <c r="E77" s="1" t="s">
        <v>219</v>
      </c>
      <c r="F77" s="4">
        <v>2733399</v>
      </c>
      <c r="G77" s="4">
        <v>1260082</v>
      </c>
      <c r="H77" s="2">
        <v>0</v>
      </c>
      <c r="I77" s="5">
        <v>1</v>
      </c>
      <c r="J77" s="5">
        <v>0</v>
      </c>
      <c r="K77" s="11" t="str">
        <f>HYPERLINK("https://www.geoportal.ch/ktsg/map/34?y=2733399&amp;x=1260082&amp;scale=2500&amp;topic=coord&amp;highlight=1&amp;label=Standort|Feuerverbotsplakat","Karte")</f>
        <v>Karte</v>
      </c>
    </row>
    <row r="78" spans="1:11" x14ac:dyDescent="0.2">
      <c r="A78" s="1" t="s">
        <v>422</v>
      </c>
      <c r="B78" s="1" t="s">
        <v>36</v>
      </c>
      <c r="C78" s="1" t="s">
        <v>37</v>
      </c>
      <c r="D78" s="2">
        <v>1077</v>
      </c>
      <c r="E78" s="1" t="s">
        <v>217</v>
      </c>
      <c r="F78" s="4">
        <v>2732505</v>
      </c>
      <c r="G78" s="4">
        <v>1257791</v>
      </c>
      <c r="H78" s="2">
        <v>0</v>
      </c>
      <c r="I78" s="5">
        <v>0</v>
      </c>
      <c r="J78" s="5">
        <v>1</v>
      </c>
      <c r="K78" s="11" t="str">
        <f>HYPERLINK("https://www.geoportal.ch/ktsg/map/34?y=2732505&amp;x=1257791&amp;scale=2500&amp;topic=coord&amp;highlight=1&amp;label=Standort|Feuerverbotsplakat","Karte")</f>
        <v>Karte</v>
      </c>
    </row>
    <row r="79" spans="1:11" x14ac:dyDescent="0.2">
      <c r="A79" s="1" t="s">
        <v>422</v>
      </c>
      <c r="B79" s="1" t="s">
        <v>36</v>
      </c>
      <c r="C79" s="1" t="s">
        <v>37</v>
      </c>
      <c r="D79" s="2">
        <v>1078</v>
      </c>
      <c r="E79" s="1" t="s">
        <v>217</v>
      </c>
      <c r="F79" s="4">
        <v>2732776</v>
      </c>
      <c r="G79" s="4">
        <v>1257786</v>
      </c>
      <c r="H79" s="2">
        <v>0</v>
      </c>
      <c r="I79" s="5">
        <v>1</v>
      </c>
      <c r="J79" s="5">
        <v>0</v>
      </c>
      <c r="K79" s="11" t="str">
        <f>HYPERLINK("https://www.geoportal.ch/ktsg/map/34?y=2732776&amp;x=1257786&amp;scale=2500&amp;topic=coord&amp;highlight=1&amp;label=Standort|Feuerverbotsplakat","Karte")</f>
        <v>Karte</v>
      </c>
    </row>
    <row r="80" spans="1:11" x14ac:dyDescent="0.2">
      <c r="A80" s="1" t="s">
        <v>422</v>
      </c>
      <c r="B80" s="1" t="s">
        <v>39</v>
      </c>
      <c r="C80" s="1" t="s">
        <v>37</v>
      </c>
      <c r="D80" s="2">
        <v>1079</v>
      </c>
      <c r="E80" s="1" t="s">
        <v>226</v>
      </c>
      <c r="F80" s="4">
        <v>2728956</v>
      </c>
      <c r="G80" s="4">
        <v>1260934</v>
      </c>
      <c r="H80" s="2">
        <v>0</v>
      </c>
      <c r="I80" s="5">
        <v>1</v>
      </c>
      <c r="J80" s="5">
        <v>0</v>
      </c>
      <c r="K80" s="11" t="str">
        <f>HYPERLINK("https://www.geoportal.ch/ktsg/map/34?y=2728956&amp;x=1260934&amp;scale=2500&amp;topic=coord&amp;highlight=1&amp;label=Standort|Feuerverbotsplakat","Karte")</f>
        <v>Karte</v>
      </c>
    </row>
    <row r="81" spans="1:11" x14ac:dyDescent="0.2">
      <c r="A81" s="1" t="s">
        <v>422</v>
      </c>
      <c r="B81" s="1" t="s">
        <v>39</v>
      </c>
      <c r="C81" s="1" t="s">
        <v>37</v>
      </c>
      <c r="D81" s="2">
        <v>1080</v>
      </c>
      <c r="E81" s="1" t="s">
        <v>225</v>
      </c>
      <c r="F81" s="4">
        <v>2728715</v>
      </c>
      <c r="G81" s="4">
        <v>1258880</v>
      </c>
      <c r="H81" s="2">
        <v>0</v>
      </c>
      <c r="I81" s="5">
        <v>1</v>
      </c>
      <c r="J81" s="5">
        <v>0</v>
      </c>
      <c r="K81" s="11" t="str">
        <f>HYPERLINK("https://www.geoportal.ch/ktsg/map/34?y=2728715&amp;x=1258880&amp;scale=2500&amp;topic=coord&amp;highlight=1&amp;label=Standort|Feuerverbotsplakat","Karte")</f>
        <v>Karte</v>
      </c>
    </row>
    <row r="82" spans="1:11" x14ac:dyDescent="0.2">
      <c r="A82" s="1" t="s">
        <v>422</v>
      </c>
      <c r="B82" s="1" t="s">
        <v>39</v>
      </c>
      <c r="C82" s="1" t="s">
        <v>50</v>
      </c>
      <c r="D82" s="2">
        <v>1081</v>
      </c>
      <c r="E82" s="1" t="s">
        <v>224</v>
      </c>
      <c r="F82" s="4">
        <v>2729030</v>
      </c>
      <c r="G82" s="4">
        <v>1258422</v>
      </c>
      <c r="H82" s="2">
        <v>0</v>
      </c>
      <c r="I82" s="5">
        <v>0</v>
      </c>
      <c r="J82" s="5">
        <v>1</v>
      </c>
      <c r="K82" s="11" t="str">
        <f>HYPERLINK("https://www.geoportal.ch/ktsg/map/34?y=2729030&amp;x=1258422&amp;scale=2500&amp;topic=coord&amp;highlight=1&amp;label=Standort|Feuerverbotsplakat","Karte")</f>
        <v>Karte</v>
      </c>
    </row>
    <row r="83" spans="1:11" x14ac:dyDescent="0.2">
      <c r="A83" s="1" t="s">
        <v>422</v>
      </c>
      <c r="B83" s="1" t="s">
        <v>39</v>
      </c>
      <c r="C83" s="1" t="s">
        <v>37</v>
      </c>
      <c r="D83" s="2">
        <v>1082</v>
      </c>
      <c r="E83" s="1" t="s">
        <v>222</v>
      </c>
      <c r="F83" s="4">
        <v>2729849</v>
      </c>
      <c r="G83" s="4">
        <v>1258909</v>
      </c>
      <c r="H83" s="2">
        <v>0</v>
      </c>
      <c r="I83" s="5">
        <v>0</v>
      </c>
      <c r="J83" s="5">
        <v>1</v>
      </c>
      <c r="K83" s="11" t="str">
        <f>HYPERLINK("https://www.geoportal.ch/ktsg/map/34?y=2729849&amp;x=1258909&amp;scale=2500&amp;topic=coord&amp;highlight=1&amp;label=Standort|Feuerverbotsplakat","Karte")</f>
        <v>Karte</v>
      </c>
    </row>
    <row r="84" spans="1:11" x14ac:dyDescent="0.2">
      <c r="A84" s="1" t="s">
        <v>422</v>
      </c>
      <c r="B84" s="1" t="s">
        <v>39</v>
      </c>
      <c r="C84" s="1" t="s">
        <v>37</v>
      </c>
      <c r="D84" s="2">
        <v>1083</v>
      </c>
      <c r="E84" s="1" t="s">
        <v>222</v>
      </c>
      <c r="F84" s="4">
        <v>2730404</v>
      </c>
      <c r="G84" s="4">
        <v>1259014</v>
      </c>
      <c r="H84" s="2">
        <v>0</v>
      </c>
      <c r="I84" s="5">
        <v>1</v>
      </c>
      <c r="J84" s="5">
        <v>0</v>
      </c>
      <c r="K84" s="11" t="str">
        <f>HYPERLINK("https://www.geoportal.ch/ktsg/map/34?y=2730404&amp;x=1259014&amp;scale=2500&amp;topic=coord&amp;highlight=1&amp;label=Standort|Feuerverbotsplakat","Karte")</f>
        <v>Karte</v>
      </c>
    </row>
    <row r="85" spans="1:11" x14ac:dyDescent="0.2">
      <c r="A85" s="1" t="s">
        <v>422</v>
      </c>
      <c r="B85" s="1" t="s">
        <v>39</v>
      </c>
      <c r="C85" s="1" t="s">
        <v>37</v>
      </c>
      <c r="D85" s="2">
        <v>1084</v>
      </c>
      <c r="E85" s="1" t="s">
        <v>222</v>
      </c>
      <c r="F85" s="4">
        <v>2730335</v>
      </c>
      <c r="G85" s="4">
        <v>1258378</v>
      </c>
      <c r="H85" s="2">
        <v>0</v>
      </c>
      <c r="I85" s="5">
        <v>1</v>
      </c>
      <c r="J85" s="5">
        <v>0</v>
      </c>
      <c r="K85" s="11" t="str">
        <f>HYPERLINK("https://www.geoportal.ch/ktsg/map/34?y=2730335&amp;x=1258378&amp;scale=2500&amp;topic=coord&amp;highlight=1&amp;label=Standort|Feuerverbotsplakat","Karte")</f>
        <v>Karte</v>
      </c>
    </row>
    <row r="86" spans="1:11" x14ac:dyDescent="0.2">
      <c r="A86" s="1" t="s">
        <v>422</v>
      </c>
      <c r="B86" s="1" t="s">
        <v>39</v>
      </c>
      <c r="C86" s="1" t="s">
        <v>37</v>
      </c>
      <c r="D86" s="2">
        <v>1085</v>
      </c>
      <c r="E86" s="1" t="s">
        <v>222</v>
      </c>
      <c r="F86" s="4">
        <v>2730593</v>
      </c>
      <c r="G86" s="4">
        <v>1258785</v>
      </c>
      <c r="H86" s="2">
        <v>0</v>
      </c>
      <c r="I86" s="5">
        <v>1</v>
      </c>
      <c r="J86" s="5">
        <v>0</v>
      </c>
      <c r="K86" s="11" t="str">
        <f>HYPERLINK("https://www.geoportal.ch/ktsg/map/34?y=2730593&amp;x=1258785&amp;scale=2500&amp;topic=coord&amp;highlight=1&amp;label=Standort|Feuerverbotsplakat","Karte")</f>
        <v>Karte</v>
      </c>
    </row>
    <row r="87" spans="1:11" x14ac:dyDescent="0.2">
      <c r="A87" s="1" t="s">
        <v>422</v>
      </c>
      <c r="B87" s="1" t="s">
        <v>39</v>
      </c>
      <c r="C87" s="1" t="s">
        <v>37</v>
      </c>
      <c r="D87" s="2">
        <v>1086</v>
      </c>
      <c r="E87" s="1" t="s">
        <v>402</v>
      </c>
      <c r="F87" s="4">
        <v>2731142</v>
      </c>
      <c r="G87" s="4">
        <v>1259035</v>
      </c>
      <c r="H87" s="2">
        <v>0</v>
      </c>
      <c r="I87" s="5">
        <v>0</v>
      </c>
      <c r="J87" s="5">
        <v>1</v>
      </c>
      <c r="K87" s="11" t="str">
        <f>HYPERLINK("https://www.geoportal.ch/ktsg/map/34?y=2731142&amp;x=1259035&amp;scale=2500&amp;topic=coord&amp;highlight=1&amp;label=Standort|Feuerverbotsplakat","Karte")</f>
        <v>Karte</v>
      </c>
    </row>
    <row r="88" spans="1:11" x14ac:dyDescent="0.2">
      <c r="A88" s="1" t="s">
        <v>422</v>
      </c>
      <c r="B88" s="1" t="s">
        <v>38</v>
      </c>
      <c r="C88" s="1" t="s">
        <v>50</v>
      </c>
      <c r="D88" s="2">
        <v>1087</v>
      </c>
      <c r="E88" s="1" t="s">
        <v>260</v>
      </c>
      <c r="F88" s="4">
        <v>2733857</v>
      </c>
      <c r="G88" s="4">
        <v>1253077</v>
      </c>
      <c r="H88" s="2">
        <v>0</v>
      </c>
      <c r="I88" s="5">
        <v>1</v>
      </c>
      <c r="J88" s="5">
        <v>0</v>
      </c>
      <c r="K88" s="11" t="str">
        <f>HYPERLINK("https://www.geoportal.ch/ktsg/map/34?y=2733857&amp;x=1253077&amp;scale=2500&amp;topic=coord&amp;highlight=1&amp;label=Standort|Feuerverbotsplakat","Karte")</f>
        <v>Karte</v>
      </c>
    </row>
    <row r="89" spans="1:11" x14ac:dyDescent="0.2">
      <c r="A89" s="1" t="s">
        <v>422</v>
      </c>
      <c r="B89" s="1" t="s">
        <v>38</v>
      </c>
      <c r="C89" s="1" t="s">
        <v>37</v>
      </c>
      <c r="D89" s="2">
        <v>1088</v>
      </c>
      <c r="E89" s="1" t="s">
        <v>223</v>
      </c>
      <c r="F89" s="4">
        <v>2729189</v>
      </c>
      <c r="G89" s="4">
        <v>1257281</v>
      </c>
      <c r="H89" s="2">
        <v>0</v>
      </c>
      <c r="I89" s="5">
        <v>1</v>
      </c>
      <c r="J89" s="5">
        <v>0</v>
      </c>
      <c r="K89" s="11" t="str">
        <f>HYPERLINK("https://www.geoportal.ch/ktsg/map/34?y=2729189&amp;x=1257281&amp;scale=2500&amp;topic=coord&amp;highlight=1&amp;label=Standort|Feuerverbotsplakat","Karte")</f>
        <v>Karte</v>
      </c>
    </row>
    <row r="90" spans="1:11" x14ac:dyDescent="0.2">
      <c r="A90" s="1" t="s">
        <v>422</v>
      </c>
      <c r="B90" s="1" t="s">
        <v>38</v>
      </c>
      <c r="C90" s="1" t="s">
        <v>37</v>
      </c>
      <c r="D90" s="2">
        <v>1089</v>
      </c>
      <c r="E90" s="1" t="s">
        <v>401</v>
      </c>
      <c r="F90" s="4">
        <v>2729714</v>
      </c>
      <c r="G90" s="4">
        <v>1257877</v>
      </c>
      <c r="H90" s="2">
        <v>0</v>
      </c>
      <c r="I90" s="5">
        <v>1</v>
      </c>
      <c r="J90" s="5">
        <v>0</v>
      </c>
      <c r="K90" s="11" t="str">
        <f>HYPERLINK("https://www.geoportal.ch/ktsg/map/34?y=2729714&amp;x=1257877&amp;scale=2500&amp;topic=coord&amp;highlight=1&amp;label=Standort|Feuerverbotsplakat","Karte")</f>
        <v>Karte</v>
      </c>
    </row>
    <row r="91" spans="1:11" x14ac:dyDescent="0.2">
      <c r="A91" s="1" t="s">
        <v>422</v>
      </c>
      <c r="B91" s="1" t="s">
        <v>38</v>
      </c>
      <c r="C91" s="1" t="s">
        <v>37</v>
      </c>
      <c r="D91" s="2">
        <v>1090</v>
      </c>
      <c r="E91" s="1" t="s">
        <v>221</v>
      </c>
      <c r="F91" s="4">
        <v>2730635</v>
      </c>
      <c r="G91" s="4">
        <v>1257623</v>
      </c>
      <c r="H91" s="2">
        <v>0</v>
      </c>
      <c r="I91" s="5">
        <v>0</v>
      </c>
      <c r="J91" s="5">
        <v>1</v>
      </c>
      <c r="K91" s="11" t="str">
        <f>HYPERLINK("https://www.geoportal.ch/ktsg/map/34?y=2730635&amp;x=1257623&amp;scale=2500&amp;topic=coord&amp;highlight=1&amp;label=Standort|Feuerverbotsplakat","Karte")</f>
        <v>Karte</v>
      </c>
    </row>
    <row r="92" spans="1:11" x14ac:dyDescent="0.2">
      <c r="A92" s="1" t="s">
        <v>422</v>
      </c>
      <c r="B92" s="1" t="s">
        <v>38</v>
      </c>
      <c r="C92" s="1" t="s">
        <v>37</v>
      </c>
      <c r="D92" s="2">
        <v>1091</v>
      </c>
      <c r="E92" s="1" t="s">
        <v>220</v>
      </c>
      <c r="F92" s="4">
        <v>2731133</v>
      </c>
      <c r="G92" s="4">
        <v>1258052</v>
      </c>
      <c r="H92" s="2">
        <v>0</v>
      </c>
      <c r="I92" s="5">
        <v>1</v>
      </c>
      <c r="J92" s="5">
        <v>0</v>
      </c>
      <c r="K92" s="11" t="str">
        <f>HYPERLINK("https://www.geoportal.ch/ktsg/map/34?y=2731133&amp;x=1258052&amp;scale=2500&amp;topic=coord&amp;highlight=1&amp;label=Standort|Feuerverbotsplakat","Karte")</f>
        <v>Karte</v>
      </c>
    </row>
    <row r="93" spans="1:11" x14ac:dyDescent="0.2">
      <c r="A93" s="1" t="s">
        <v>422</v>
      </c>
      <c r="B93" s="1" t="s">
        <v>38</v>
      </c>
      <c r="C93" s="1" t="s">
        <v>37</v>
      </c>
      <c r="D93" s="2">
        <v>1092</v>
      </c>
      <c r="E93" s="1" t="s">
        <v>218</v>
      </c>
      <c r="F93" s="4">
        <v>2730709</v>
      </c>
      <c r="G93" s="4">
        <v>1256341</v>
      </c>
      <c r="H93" s="2">
        <v>0</v>
      </c>
      <c r="I93" s="5">
        <v>1</v>
      </c>
      <c r="J93" s="5">
        <v>0</v>
      </c>
      <c r="K93" s="11" t="str">
        <f>HYPERLINK("https://www.geoportal.ch/ktsg/map/34?y=2730709&amp;x=1256341&amp;scale=2500&amp;topic=coord&amp;highlight=1&amp;label=Standort|Feuerverbotsplakat","Karte")</f>
        <v>Karte</v>
      </c>
    </row>
    <row r="94" spans="1:11" x14ac:dyDescent="0.2">
      <c r="A94" s="1" t="s">
        <v>422</v>
      </c>
      <c r="B94" s="1" t="s">
        <v>38</v>
      </c>
      <c r="C94" s="1" t="s">
        <v>37</v>
      </c>
      <c r="D94" s="2">
        <v>1093</v>
      </c>
      <c r="E94" s="1" t="s">
        <v>218</v>
      </c>
      <c r="F94" s="4">
        <v>2730907</v>
      </c>
      <c r="G94" s="4">
        <v>1255766</v>
      </c>
      <c r="H94" s="2">
        <v>0</v>
      </c>
      <c r="I94" s="5">
        <v>0</v>
      </c>
      <c r="J94" s="5">
        <v>1</v>
      </c>
      <c r="K94" s="11" t="str">
        <f>HYPERLINK("https://www.geoportal.ch/ktsg/map/34?y=2730907&amp;x=1255766&amp;scale=2500&amp;topic=coord&amp;highlight=1&amp;label=Standort|Feuerverbotsplakat","Karte")</f>
        <v>Karte</v>
      </c>
    </row>
    <row r="95" spans="1:11" x14ac:dyDescent="0.2">
      <c r="A95" s="1" t="s">
        <v>422</v>
      </c>
      <c r="B95" s="1" t="s">
        <v>43</v>
      </c>
      <c r="C95" s="1" t="s">
        <v>41</v>
      </c>
      <c r="D95" s="2">
        <v>1094</v>
      </c>
      <c r="E95" s="1" t="s">
        <v>405</v>
      </c>
      <c r="F95" s="4">
        <v>2726199</v>
      </c>
      <c r="G95" s="4">
        <v>1255208</v>
      </c>
      <c r="H95" s="2">
        <v>0</v>
      </c>
      <c r="I95" s="5">
        <v>1</v>
      </c>
      <c r="J95" s="5">
        <v>0</v>
      </c>
      <c r="K95" s="11" t="str">
        <f>HYPERLINK("https://www.geoportal.ch/ktsg/map/34?y=2726199&amp;x=1255208&amp;scale=2500&amp;topic=coord&amp;highlight=1&amp;label=Standort|Feuerverbotsplakat","Karte")</f>
        <v>Karte</v>
      </c>
    </row>
    <row r="96" spans="1:11" x14ac:dyDescent="0.2">
      <c r="A96" s="1" t="s">
        <v>422</v>
      </c>
      <c r="B96" s="1" t="s">
        <v>43</v>
      </c>
      <c r="C96" s="1" t="s">
        <v>41</v>
      </c>
      <c r="D96" s="2">
        <v>1095</v>
      </c>
      <c r="E96" s="1" t="s">
        <v>502</v>
      </c>
      <c r="F96" s="4">
        <v>2726423</v>
      </c>
      <c r="G96" s="4">
        <v>1254268</v>
      </c>
      <c r="H96" s="2">
        <v>0</v>
      </c>
      <c r="I96" s="5">
        <v>1</v>
      </c>
      <c r="J96" s="5">
        <v>0</v>
      </c>
      <c r="K96" s="11" t="str">
        <f>HYPERLINK("https://www.geoportal.ch/ktsg/map/34?y=2726423&amp;x=1254268&amp;scale=2500&amp;topic=coord&amp;highlight=1&amp;label=Standort|Feuerverbotsplakat","Karte")</f>
        <v>Karte</v>
      </c>
    </row>
    <row r="97" spans="1:11" x14ac:dyDescent="0.2">
      <c r="A97" s="1" t="s">
        <v>422</v>
      </c>
      <c r="B97" s="1" t="s">
        <v>43</v>
      </c>
      <c r="C97" s="1" t="s">
        <v>41</v>
      </c>
      <c r="D97" s="2">
        <v>1096</v>
      </c>
      <c r="E97" s="1" t="s">
        <v>404</v>
      </c>
      <c r="F97" s="4">
        <v>2727619</v>
      </c>
      <c r="G97" s="4">
        <v>1253115</v>
      </c>
      <c r="H97" s="2">
        <v>0</v>
      </c>
      <c r="I97" s="5">
        <v>1</v>
      </c>
      <c r="J97" s="5">
        <v>0</v>
      </c>
      <c r="K97" s="11" t="str">
        <f>HYPERLINK("https://www.geoportal.ch/ktsg/map/34?y=2727619&amp;x=1253115&amp;scale=2500&amp;topic=coord&amp;highlight=1&amp;label=Standort|Feuerverbotsplakat","Karte")</f>
        <v>Karte</v>
      </c>
    </row>
    <row r="98" spans="1:11" x14ac:dyDescent="0.2">
      <c r="A98" s="1" t="s">
        <v>422</v>
      </c>
      <c r="B98" s="1" t="s">
        <v>43</v>
      </c>
      <c r="C98" s="1" t="s">
        <v>41</v>
      </c>
      <c r="D98" s="2">
        <v>1097</v>
      </c>
      <c r="E98" s="1" t="s">
        <v>403</v>
      </c>
      <c r="F98" s="4">
        <v>2727384</v>
      </c>
      <c r="G98" s="4">
        <v>1252764</v>
      </c>
      <c r="H98" s="2">
        <v>0</v>
      </c>
      <c r="I98" s="5">
        <v>1</v>
      </c>
      <c r="J98" s="5">
        <v>0</v>
      </c>
      <c r="K98" s="11" t="str">
        <f>HYPERLINK("https://www.geoportal.ch/ktsg/map/34?y=2727384&amp;x=1252764&amp;scale=2500&amp;topic=coord&amp;highlight=1&amp;label=Standort|Feuerverbotsplakat","Karte")</f>
        <v>Karte</v>
      </c>
    </row>
    <row r="99" spans="1:11" x14ac:dyDescent="0.2">
      <c r="A99" s="1" t="s">
        <v>422</v>
      </c>
      <c r="B99" s="1" t="s">
        <v>43</v>
      </c>
      <c r="C99" s="1" t="s">
        <v>41</v>
      </c>
      <c r="D99" s="2">
        <v>1098</v>
      </c>
      <c r="E99" s="1" t="s">
        <v>242</v>
      </c>
      <c r="F99" s="4">
        <v>2727843</v>
      </c>
      <c r="G99" s="4">
        <v>1252335</v>
      </c>
      <c r="H99" s="2">
        <v>0</v>
      </c>
      <c r="I99" s="5">
        <v>1</v>
      </c>
      <c r="J99" s="5">
        <v>0</v>
      </c>
      <c r="K99" s="11" t="str">
        <f>HYPERLINK("https://www.geoportal.ch/ktsg/map/34?y=2727843&amp;x=1252335&amp;scale=2500&amp;topic=coord&amp;highlight=1&amp;label=Standort|Feuerverbotsplakat","Karte")</f>
        <v>Karte</v>
      </c>
    </row>
    <row r="100" spans="1:11" x14ac:dyDescent="0.2">
      <c r="A100" s="1" t="s">
        <v>422</v>
      </c>
      <c r="B100" s="1" t="s">
        <v>43</v>
      </c>
      <c r="C100" s="1" t="s">
        <v>41</v>
      </c>
      <c r="D100" s="2">
        <v>1099</v>
      </c>
      <c r="E100" s="1" t="s">
        <v>241</v>
      </c>
      <c r="F100" s="4">
        <v>2728652</v>
      </c>
      <c r="G100" s="4">
        <v>1252910</v>
      </c>
      <c r="H100" s="2">
        <v>0</v>
      </c>
      <c r="I100" s="5">
        <v>1</v>
      </c>
      <c r="J100" s="5">
        <v>0</v>
      </c>
      <c r="K100" s="11" t="str">
        <f>HYPERLINK("https://www.geoportal.ch/ktsg/map/34?y=2728652&amp;x=1252910&amp;scale=2500&amp;topic=coord&amp;highlight=1&amp;label=Standort|Feuerverbotsplakat","Karte")</f>
        <v>Karte</v>
      </c>
    </row>
    <row r="101" spans="1:11" x14ac:dyDescent="0.2">
      <c r="A101" s="1" t="s">
        <v>422</v>
      </c>
      <c r="B101" s="1" t="s">
        <v>43</v>
      </c>
      <c r="C101" s="1" t="s">
        <v>41</v>
      </c>
      <c r="D101" s="2">
        <v>1100</v>
      </c>
      <c r="E101" s="1" t="s">
        <v>240</v>
      </c>
      <c r="F101" s="4">
        <v>2729156</v>
      </c>
      <c r="G101" s="4">
        <v>1252033</v>
      </c>
      <c r="H101" s="2">
        <v>0</v>
      </c>
      <c r="I101" s="5">
        <v>1</v>
      </c>
      <c r="J101" s="5">
        <v>0</v>
      </c>
      <c r="K101" s="11" t="str">
        <f>HYPERLINK("https://www.geoportal.ch/ktsg/map/34?y=2729156&amp;x=1252033&amp;scale=2500&amp;topic=coord&amp;highlight=1&amp;label=Standort|Feuerverbotsplakat","Karte")</f>
        <v>Karte</v>
      </c>
    </row>
    <row r="102" spans="1:11" x14ac:dyDescent="0.2">
      <c r="A102" s="1" t="s">
        <v>422</v>
      </c>
      <c r="B102" s="1" t="s">
        <v>43</v>
      </c>
      <c r="C102" s="1" t="s">
        <v>41</v>
      </c>
      <c r="D102" s="2">
        <v>1101</v>
      </c>
      <c r="E102" s="1" t="s">
        <v>239</v>
      </c>
      <c r="F102" s="4">
        <v>2728935</v>
      </c>
      <c r="G102" s="4">
        <v>1253695</v>
      </c>
      <c r="H102" s="2">
        <v>0</v>
      </c>
      <c r="I102" s="5">
        <v>1</v>
      </c>
      <c r="J102" s="5">
        <v>0</v>
      </c>
      <c r="K102" s="11" t="str">
        <f>HYPERLINK("https://www.geoportal.ch/ktsg/map/34?y=2728935&amp;x=1253695&amp;scale=2500&amp;topic=coord&amp;highlight=1&amp;label=Standort|Feuerverbotsplakat","Karte")</f>
        <v>Karte</v>
      </c>
    </row>
    <row r="103" spans="1:11" x14ac:dyDescent="0.2">
      <c r="A103" s="1" t="s">
        <v>422</v>
      </c>
      <c r="B103" s="1" t="s">
        <v>43</v>
      </c>
      <c r="C103" s="1" t="s">
        <v>41</v>
      </c>
      <c r="D103" s="2">
        <v>1102</v>
      </c>
      <c r="E103" s="1" t="s">
        <v>790</v>
      </c>
      <c r="F103" s="4">
        <v>2731266</v>
      </c>
      <c r="G103" s="4">
        <v>1254170</v>
      </c>
      <c r="H103" s="2">
        <v>0</v>
      </c>
      <c r="I103" s="5">
        <v>1</v>
      </c>
      <c r="J103" s="5">
        <v>0</v>
      </c>
      <c r="K103" s="11" t="str">
        <f>HYPERLINK("https://www.geoportal.ch/ktsg/map/34?y=2731266&amp;x=1254170&amp;scale=2500&amp;topic=coord&amp;highlight=1&amp;label=Standort|Feuerverbotsplakat","Karte")</f>
        <v>Karte</v>
      </c>
    </row>
    <row r="104" spans="1:11" x14ac:dyDescent="0.2">
      <c r="A104" s="1" t="s">
        <v>422</v>
      </c>
      <c r="B104" s="1" t="s">
        <v>28</v>
      </c>
      <c r="C104" s="1" t="s">
        <v>480</v>
      </c>
      <c r="D104" s="2">
        <v>1103</v>
      </c>
      <c r="E104" s="1" t="s">
        <v>204</v>
      </c>
      <c r="F104" s="4">
        <v>2755319</v>
      </c>
      <c r="G104" s="4">
        <v>1258567</v>
      </c>
      <c r="H104" s="2">
        <v>0</v>
      </c>
      <c r="I104" s="5">
        <v>1</v>
      </c>
      <c r="J104" s="5">
        <v>0</v>
      </c>
      <c r="K104" s="11" t="str">
        <f>HYPERLINK("https://www.geoportal.ch/ktsg/map/34?y=2755319&amp;x=1258567&amp;scale=2500&amp;topic=coord&amp;highlight=1&amp;label=Standort|Feuerverbotsplakat","Karte")</f>
        <v>Karte</v>
      </c>
    </row>
    <row r="105" spans="1:11" x14ac:dyDescent="0.2">
      <c r="A105" s="1" t="s">
        <v>422</v>
      </c>
      <c r="B105" s="1" t="s">
        <v>28</v>
      </c>
      <c r="C105" s="1" t="s">
        <v>480</v>
      </c>
      <c r="D105" s="2">
        <v>1104</v>
      </c>
      <c r="E105" s="1" t="s">
        <v>203</v>
      </c>
      <c r="F105" s="4">
        <v>2755421</v>
      </c>
      <c r="G105" s="4">
        <v>1259308</v>
      </c>
      <c r="H105" s="2">
        <v>0</v>
      </c>
      <c r="I105" s="5">
        <v>1</v>
      </c>
      <c r="J105" s="5">
        <v>0</v>
      </c>
      <c r="K105" s="11" t="str">
        <f>HYPERLINK("https://www.geoportal.ch/ktsg/map/34?y=2755421&amp;x=1259308&amp;scale=2500&amp;topic=coord&amp;highlight=1&amp;label=Standort|Feuerverbotsplakat","Karte")</f>
        <v>Karte</v>
      </c>
    </row>
    <row r="106" spans="1:11" x14ac:dyDescent="0.2">
      <c r="A106" s="1" t="s">
        <v>422</v>
      </c>
      <c r="B106" s="1" t="s">
        <v>28</v>
      </c>
      <c r="C106" s="1" t="s">
        <v>480</v>
      </c>
      <c r="D106" s="2">
        <v>1105</v>
      </c>
      <c r="E106" s="1" t="s">
        <v>465</v>
      </c>
      <c r="F106" s="4">
        <v>2755320</v>
      </c>
      <c r="G106" s="4">
        <v>1259590</v>
      </c>
      <c r="H106" s="2">
        <v>0</v>
      </c>
      <c r="I106" s="5">
        <v>1</v>
      </c>
      <c r="J106" s="5">
        <v>0</v>
      </c>
      <c r="K106" s="11" t="str">
        <f>HYPERLINK("https://www.geoportal.ch/ktsg/map/34?y=2755320&amp;x=1259590&amp;scale=2500&amp;topic=coord&amp;highlight=1&amp;label=Standort|Feuerverbotsplakat","Karte")</f>
        <v>Karte</v>
      </c>
    </row>
    <row r="107" spans="1:11" x14ac:dyDescent="0.2">
      <c r="A107" s="1" t="s">
        <v>422</v>
      </c>
      <c r="B107" s="1" t="s">
        <v>28</v>
      </c>
      <c r="C107" s="1" t="s">
        <v>480</v>
      </c>
      <c r="D107" s="2">
        <v>1106</v>
      </c>
      <c r="E107" s="1" t="s">
        <v>466</v>
      </c>
      <c r="F107" s="4">
        <v>2756870</v>
      </c>
      <c r="G107" s="4">
        <v>1259400</v>
      </c>
      <c r="H107" s="2">
        <v>0</v>
      </c>
      <c r="I107" s="5">
        <v>1</v>
      </c>
      <c r="J107" s="5">
        <v>0</v>
      </c>
      <c r="K107" s="11" t="str">
        <f>HYPERLINK("https://www.geoportal.ch/ktsg/map/34?y=2756870&amp;x=1259400&amp;scale=2500&amp;topic=coord&amp;highlight=1&amp;label=Standort|Feuerverbotsplakat","Karte")</f>
        <v>Karte</v>
      </c>
    </row>
    <row r="108" spans="1:11" x14ac:dyDescent="0.2">
      <c r="A108" s="6" t="s">
        <v>422</v>
      </c>
      <c r="B108" s="1" t="s">
        <v>510</v>
      </c>
      <c r="C108" s="1" t="s">
        <v>49</v>
      </c>
      <c r="D108" s="2">
        <v>1107</v>
      </c>
      <c r="E108" s="1" t="s">
        <v>428</v>
      </c>
      <c r="F108" s="4">
        <v>2749850</v>
      </c>
      <c r="G108" s="4">
        <v>1254625</v>
      </c>
      <c r="H108" s="2">
        <v>0</v>
      </c>
      <c r="I108" s="5">
        <v>1</v>
      </c>
      <c r="J108" s="5">
        <v>0</v>
      </c>
      <c r="K108" s="11" t="str">
        <f>HYPERLINK("https://www.geoportal.ch/ktsg/map/34?y=2749850&amp;x=1254625&amp;scale=2500&amp;topic=coord&amp;highlight=1&amp;label=Standort|Feuerverbotsplakat","Karte")</f>
        <v>Karte</v>
      </c>
    </row>
    <row r="109" spans="1:11" x14ac:dyDescent="0.2">
      <c r="A109" s="1" t="s">
        <v>422</v>
      </c>
      <c r="B109" s="1" t="s">
        <v>510</v>
      </c>
      <c r="C109" s="1" t="s">
        <v>480</v>
      </c>
      <c r="D109" s="2">
        <v>1108</v>
      </c>
      <c r="E109" s="1" t="s">
        <v>567</v>
      </c>
      <c r="F109" s="4">
        <v>2740558</v>
      </c>
      <c r="G109" s="4">
        <v>1252829</v>
      </c>
      <c r="H109" s="2">
        <v>0</v>
      </c>
      <c r="I109" s="5">
        <v>1</v>
      </c>
      <c r="J109" s="5">
        <v>0</v>
      </c>
      <c r="K109" s="11" t="str">
        <f>HYPERLINK("https://www.geoportal.ch/ktsg/map/34?y=2740558&amp;x=1252829&amp;scale=2500&amp;topic=coord&amp;highlight=1&amp;label=Standort|Feuerverbotsplakat","Karte")</f>
        <v>Karte</v>
      </c>
    </row>
    <row r="110" spans="1:11" x14ac:dyDescent="0.2">
      <c r="A110" s="1" t="s">
        <v>422</v>
      </c>
      <c r="B110" s="1" t="s">
        <v>510</v>
      </c>
      <c r="C110" s="1" t="s">
        <v>480</v>
      </c>
      <c r="D110" s="2">
        <v>1109</v>
      </c>
      <c r="E110" s="1" t="s">
        <v>255</v>
      </c>
      <c r="F110" s="4">
        <v>2745681</v>
      </c>
      <c r="G110" s="4">
        <v>1255402</v>
      </c>
      <c r="H110" s="2">
        <v>0</v>
      </c>
      <c r="I110" s="5">
        <v>1</v>
      </c>
      <c r="J110" s="5">
        <v>0</v>
      </c>
      <c r="K110" s="11" t="str">
        <f>HYPERLINK("https://www.geoportal.ch/ktsg/map/34?y=2745681&amp;x=1255402&amp;scale=2500&amp;topic=coord&amp;highlight=1&amp;label=Standort|Feuerverbotsplakat","Karte")</f>
        <v>Karte</v>
      </c>
    </row>
    <row r="111" spans="1:11" x14ac:dyDescent="0.2">
      <c r="A111" s="1" t="s">
        <v>422</v>
      </c>
      <c r="B111" s="1" t="s">
        <v>510</v>
      </c>
      <c r="C111" s="1" t="s">
        <v>480</v>
      </c>
      <c r="D111" s="2">
        <v>1110</v>
      </c>
      <c r="E111" s="1" t="s">
        <v>254</v>
      </c>
      <c r="F111" s="4">
        <v>2745730</v>
      </c>
      <c r="G111" s="4">
        <v>1256401</v>
      </c>
      <c r="H111" s="2">
        <v>0</v>
      </c>
      <c r="I111" s="5">
        <v>1</v>
      </c>
      <c r="J111" s="5">
        <v>0</v>
      </c>
      <c r="K111" s="11" t="str">
        <f>HYPERLINK("https://www.geoportal.ch/ktsg/map/34?y=2745730&amp;x=1256401&amp;scale=2500&amp;topic=coord&amp;highlight=1&amp;label=Standort|Feuerverbotsplakat","Karte")</f>
        <v>Karte</v>
      </c>
    </row>
    <row r="112" spans="1:11" x14ac:dyDescent="0.2">
      <c r="A112" s="1" t="s">
        <v>422</v>
      </c>
      <c r="B112" s="1" t="s">
        <v>510</v>
      </c>
      <c r="C112" s="1" t="s">
        <v>480</v>
      </c>
      <c r="D112" s="2">
        <v>1111</v>
      </c>
      <c r="E112" s="1" t="s">
        <v>481</v>
      </c>
      <c r="F112" s="4">
        <v>2740831</v>
      </c>
      <c r="G112" s="4">
        <v>1253307</v>
      </c>
      <c r="H112" s="2">
        <v>0</v>
      </c>
      <c r="I112" s="5">
        <v>1</v>
      </c>
      <c r="J112" s="5">
        <v>0</v>
      </c>
      <c r="K112" s="11" t="str">
        <f>HYPERLINK("https://www.geoportal.ch/ktsg/map/34?y=2740831&amp;x=1253307&amp;scale=2500&amp;topic=coord&amp;highlight=1&amp;label=Standort|Feuerverbotsplakat","Karte")</f>
        <v>Karte</v>
      </c>
    </row>
    <row r="113" spans="1:11" x14ac:dyDescent="0.2">
      <c r="A113" s="1" t="s">
        <v>422</v>
      </c>
      <c r="B113" s="1" t="s">
        <v>510</v>
      </c>
      <c r="C113" s="1" t="s">
        <v>49</v>
      </c>
      <c r="D113" s="2">
        <v>1112</v>
      </c>
      <c r="E113" s="1" t="s">
        <v>265</v>
      </c>
      <c r="F113" s="4">
        <v>2741814</v>
      </c>
      <c r="G113" s="4">
        <v>1251633</v>
      </c>
      <c r="H113" s="2">
        <v>0</v>
      </c>
      <c r="I113" s="5">
        <v>1</v>
      </c>
      <c r="J113" s="5">
        <v>0</v>
      </c>
      <c r="K113" s="11" t="str">
        <f>HYPERLINK("https://www.geoportal.ch/ktsg/map/34?y=2741814&amp;x=1251633&amp;scale=2500&amp;topic=coord&amp;highlight=1&amp;label=Standort|Feuerverbotsplakat","Karte")</f>
        <v>Karte</v>
      </c>
    </row>
    <row r="114" spans="1:11" x14ac:dyDescent="0.2">
      <c r="A114" s="1" t="s">
        <v>422</v>
      </c>
      <c r="B114" s="1" t="s">
        <v>510</v>
      </c>
      <c r="C114" s="1" t="s">
        <v>49</v>
      </c>
      <c r="D114" s="2">
        <v>1113</v>
      </c>
      <c r="E114" s="1" t="s">
        <v>264</v>
      </c>
      <c r="F114" s="4">
        <v>2743827</v>
      </c>
      <c r="G114" s="4">
        <v>1254345</v>
      </c>
      <c r="H114" s="2">
        <v>0</v>
      </c>
      <c r="I114" s="5">
        <v>1</v>
      </c>
      <c r="J114" s="5">
        <v>0</v>
      </c>
      <c r="K114" s="11" t="str">
        <f>HYPERLINK("https://www.geoportal.ch/ktsg/map/34?y=2743827&amp;x=1254345&amp;scale=2500&amp;topic=coord&amp;highlight=1&amp;label=Standort|Feuerverbotsplakat","Karte")</f>
        <v>Karte</v>
      </c>
    </row>
    <row r="115" spans="1:11" x14ac:dyDescent="0.2">
      <c r="A115" s="1" t="s">
        <v>422</v>
      </c>
      <c r="B115" s="1" t="s">
        <v>510</v>
      </c>
      <c r="C115" s="1" t="s">
        <v>49</v>
      </c>
      <c r="D115" s="2">
        <v>1114</v>
      </c>
      <c r="E115" s="1" t="s">
        <v>263</v>
      </c>
      <c r="F115" s="4">
        <v>2745056</v>
      </c>
      <c r="G115" s="4">
        <v>1254768</v>
      </c>
      <c r="H115" s="2">
        <v>0</v>
      </c>
      <c r="I115" s="5">
        <v>1</v>
      </c>
      <c r="J115" s="5">
        <v>0</v>
      </c>
      <c r="K115" s="11" t="str">
        <f>HYPERLINK("https://www.geoportal.ch/ktsg/map/34?y=2745056&amp;x=1254768&amp;scale=2500&amp;topic=coord&amp;highlight=1&amp;label=Standort|Feuerverbotsplakat","Karte")</f>
        <v>Karte</v>
      </c>
    </row>
    <row r="116" spans="1:11" x14ac:dyDescent="0.2">
      <c r="A116" s="1" t="s">
        <v>422</v>
      </c>
      <c r="B116" s="1" t="s">
        <v>510</v>
      </c>
      <c r="C116" s="1" t="s">
        <v>49</v>
      </c>
      <c r="D116" s="2">
        <v>1115</v>
      </c>
      <c r="E116" s="1" t="s">
        <v>607</v>
      </c>
      <c r="F116" s="4">
        <v>2746086</v>
      </c>
      <c r="G116" s="4">
        <v>1252974</v>
      </c>
      <c r="H116" s="2">
        <v>0</v>
      </c>
      <c r="I116" s="5">
        <v>1</v>
      </c>
      <c r="J116" s="5">
        <v>0</v>
      </c>
      <c r="K116" s="11" t="str">
        <f>HYPERLINK("https://www.geoportal.ch/ktsg/map/34?y=2746086&amp;x=1252974&amp;scale=2500&amp;topic=coord&amp;highlight=1&amp;label=Standort|Feuerverbotsplakat","Karte")</f>
        <v>Karte</v>
      </c>
    </row>
    <row r="117" spans="1:11" x14ac:dyDescent="0.2">
      <c r="A117" s="1" t="s">
        <v>422</v>
      </c>
      <c r="B117" s="1" t="s">
        <v>510</v>
      </c>
      <c r="C117" s="1" t="s">
        <v>49</v>
      </c>
      <c r="D117" s="2">
        <v>1116</v>
      </c>
      <c r="E117" s="1" t="s">
        <v>608</v>
      </c>
      <c r="F117" s="4">
        <v>2747409</v>
      </c>
      <c r="G117" s="4">
        <v>1253967</v>
      </c>
      <c r="H117" s="2">
        <v>0</v>
      </c>
      <c r="I117" s="5">
        <v>1</v>
      </c>
      <c r="J117" s="5">
        <v>0</v>
      </c>
      <c r="K117" s="11" t="str">
        <f>HYPERLINK("https://www.geoportal.ch/ktsg/map/34?y=2747409&amp;x=1253967&amp;scale=2500&amp;topic=coord&amp;highlight=1&amp;label=Standort|Feuerverbotsplakat","Karte")</f>
        <v>Karte</v>
      </c>
    </row>
    <row r="118" spans="1:11" x14ac:dyDescent="0.2">
      <c r="A118" s="1" t="s">
        <v>422</v>
      </c>
      <c r="B118" s="1" t="s">
        <v>510</v>
      </c>
      <c r="C118" s="1" t="s">
        <v>49</v>
      </c>
      <c r="D118" s="2">
        <v>1117</v>
      </c>
      <c r="E118" s="1" t="s">
        <v>609</v>
      </c>
      <c r="F118" s="4">
        <v>2747989</v>
      </c>
      <c r="G118" s="4">
        <v>1252776</v>
      </c>
      <c r="H118" s="2">
        <v>0</v>
      </c>
      <c r="I118" s="5">
        <v>1</v>
      </c>
      <c r="J118" s="5">
        <v>0</v>
      </c>
      <c r="K118" s="11" t="str">
        <f>HYPERLINK("https://www.geoportal.ch/ktsg/map/34?y=2747989&amp;x=1252776&amp;scale=2500&amp;topic=coord&amp;highlight=1&amp;label=Standort|Feuerverbotsplakat","Karte")</f>
        <v>Karte</v>
      </c>
    </row>
    <row r="119" spans="1:11" x14ac:dyDescent="0.2">
      <c r="A119" s="1" t="s">
        <v>422</v>
      </c>
      <c r="B119" s="1" t="s">
        <v>510</v>
      </c>
      <c r="C119" s="1" t="s">
        <v>49</v>
      </c>
      <c r="D119" s="2">
        <v>1118</v>
      </c>
      <c r="E119" s="1" t="s">
        <v>262</v>
      </c>
      <c r="F119" s="4">
        <v>2746207</v>
      </c>
      <c r="G119" s="4">
        <v>1256618</v>
      </c>
      <c r="H119" s="2">
        <v>0</v>
      </c>
      <c r="I119" s="5">
        <v>1</v>
      </c>
      <c r="J119" s="5">
        <v>0</v>
      </c>
      <c r="K119" s="11" t="str">
        <f>HYPERLINK("https://www.geoportal.ch/ktsg/map/34?y=2746207&amp;x=1256618&amp;scale=2500&amp;topic=coord&amp;highlight=1&amp;label=Standort|Feuerverbotsplakat","Karte")</f>
        <v>Karte</v>
      </c>
    </row>
    <row r="120" spans="1:11" x14ac:dyDescent="0.2">
      <c r="A120" s="1" t="s">
        <v>422</v>
      </c>
      <c r="B120" s="1" t="s">
        <v>510</v>
      </c>
      <c r="C120" s="1" t="s">
        <v>49</v>
      </c>
      <c r="D120" s="2">
        <v>1119</v>
      </c>
      <c r="E120" s="1" t="s">
        <v>610</v>
      </c>
      <c r="F120" s="4">
        <v>2746798</v>
      </c>
      <c r="G120" s="4">
        <v>1257099</v>
      </c>
      <c r="H120" s="2">
        <v>0</v>
      </c>
      <c r="I120" s="5">
        <v>1</v>
      </c>
      <c r="J120" s="5">
        <v>0</v>
      </c>
      <c r="K120" s="11" t="str">
        <f>HYPERLINK("https://www.geoportal.ch/ktsg/map/34?y=2746798&amp;x=1257099&amp;scale=2500&amp;topic=coord&amp;highlight=1&amp;label=Standort|Feuerverbotsplakat","Karte")</f>
        <v>Karte</v>
      </c>
    </row>
    <row r="121" spans="1:11" x14ac:dyDescent="0.2">
      <c r="A121" s="1" t="s">
        <v>422</v>
      </c>
      <c r="B121" s="1" t="s">
        <v>510</v>
      </c>
      <c r="C121" s="1" t="s">
        <v>49</v>
      </c>
      <c r="D121" s="2">
        <v>1120</v>
      </c>
      <c r="E121" s="1" t="s">
        <v>611</v>
      </c>
      <c r="F121" s="4">
        <v>2747198</v>
      </c>
      <c r="G121" s="4">
        <v>1256974</v>
      </c>
      <c r="H121" s="2">
        <v>0</v>
      </c>
      <c r="I121" s="5">
        <v>1</v>
      </c>
      <c r="J121" s="5">
        <v>0</v>
      </c>
      <c r="K121" s="11" t="str">
        <f>HYPERLINK("https://www.geoportal.ch/ktsg/map/34?y=2747198&amp;x=1256974&amp;scale=2500&amp;topic=coord&amp;highlight=1&amp;label=Standort|Feuerverbotsplakat","Karte")</f>
        <v>Karte</v>
      </c>
    </row>
    <row r="122" spans="1:11" x14ac:dyDescent="0.2">
      <c r="A122" s="1" t="s">
        <v>422</v>
      </c>
      <c r="B122" s="1" t="s">
        <v>510</v>
      </c>
      <c r="C122" s="1" t="s">
        <v>49</v>
      </c>
      <c r="D122" s="2">
        <v>1121</v>
      </c>
      <c r="E122" s="1" t="s">
        <v>612</v>
      </c>
      <c r="F122" s="4">
        <v>2748930</v>
      </c>
      <c r="G122" s="4">
        <v>1257450</v>
      </c>
      <c r="H122" s="2">
        <v>0</v>
      </c>
      <c r="I122" s="5">
        <v>1</v>
      </c>
      <c r="J122" s="5">
        <v>0</v>
      </c>
      <c r="K122" s="11" t="str">
        <f>HYPERLINK("https://www.geoportal.ch/ktsg/map/34?y=2748930&amp;x=1257450&amp;scale=2500&amp;topic=coord&amp;highlight=1&amp;label=Standort|Feuerverbotsplakat","Karte")</f>
        <v>Karte</v>
      </c>
    </row>
    <row r="123" spans="1:11" x14ac:dyDescent="0.2">
      <c r="A123" s="1" t="s">
        <v>422</v>
      </c>
      <c r="B123" s="1" t="s">
        <v>510</v>
      </c>
      <c r="C123" s="1" t="s">
        <v>49</v>
      </c>
      <c r="D123" s="2">
        <v>1122</v>
      </c>
      <c r="E123" s="1" t="s">
        <v>791</v>
      </c>
      <c r="F123" s="4">
        <v>2749626</v>
      </c>
      <c r="G123" s="4">
        <v>1252910</v>
      </c>
      <c r="H123" s="2">
        <v>0</v>
      </c>
      <c r="I123" s="5">
        <v>1</v>
      </c>
      <c r="J123" s="5">
        <v>0</v>
      </c>
      <c r="K123" s="11" t="str">
        <f>HYPERLINK("https://www.geoportal.ch/ktsg/map/34?y=2749626&amp;x=1252910&amp;scale=2500&amp;topic=coord&amp;highlight=1&amp;label=Standort|Feuerverbotsplakat","Karte")</f>
        <v>Karte</v>
      </c>
    </row>
    <row r="124" spans="1:11" x14ac:dyDescent="0.2">
      <c r="A124" s="1" t="s">
        <v>422</v>
      </c>
      <c r="B124" s="1" t="s">
        <v>510</v>
      </c>
      <c r="C124" s="1" t="s">
        <v>49</v>
      </c>
      <c r="D124" s="2">
        <v>1123</v>
      </c>
      <c r="E124" s="1" t="s">
        <v>575</v>
      </c>
      <c r="F124" s="4">
        <v>2749938</v>
      </c>
      <c r="G124" s="4">
        <v>1253464</v>
      </c>
      <c r="H124" s="2">
        <v>0</v>
      </c>
      <c r="I124" s="5">
        <v>1</v>
      </c>
      <c r="J124" s="5">
        <v>0</v>
      </c>
      <c r="K124" s="11" t="str">
        <f>HYPERLINK("https://www.geoportal.ch/ktsg/map/34?y=2749938&amp;x=1253464&amp;scale=2500&amp;topic=coord&amp;highlight=1&amp;label=Standort|Feuerverbotsplakat","Karte")</f>
        <v>Karte</v>
      </c>
    </row>
    <row r="125" spans="1:11" x14ac:dyDescent="0.2">
      <c r="A125" s="1" t="s">
        <v>422</v>
      </c>
      <c r="B125" s="1" t="s">
        <v>510</v>
      </c>
      <c r="C125" s="1" t="s">
        <v>49</v>
      </c>
      <c r="D125" s="2">
        <v>1124</v>
      </c>
      <c r="E125" s="1" t="s">
        <v>613</v>
      </c>
      <c r="F125" s="4">
        <v>2744412</v>
      </c>
      <c r="G125" s="4">
        <v>1252511</v>
      </c>
      <c r="H125" s="2">
        <v>0</v>
      </c>
      <c r="I125" s="5">
        <v>1</v>
      </c>
      <c r="J125" s="5">
        <v>0</v>
      </c>
      <c r="K125" s="11" t="str">
        <f>HYPERLINK("https://www.geoportal.ch/ktsg/map/34?y=2744412&amp;x=1252511&amp;scale=2500&amp;topic=coord&amp;highlight=1&amp;label=Standort|Feuerverbotsplakat","Karte")</f>
        <v>Karte</v>
      </c>
    </row>
    <row r="126" spans="1:11" x14ac:dyDescent="0.2">
      <c r="A126" s="1" t="s">
        <v>422</v>
      </c>
      <c r="B126" s="1" t="s">
        <v>510</v>
      </c>
      <c r="C126" s="1" t="s">
        <v>49</v>
      </c>
      <c r="D126" s="2">
        <v>1125</v>
      </c>
      <c r="E126" s="1" t="s">
        <v>253</v>
      </c>
      <c r="F126" s="4">
        <v>2748571</v>
      </c>
      <c r="G126" s="4">
        <v>1254862</v>
      </c>
      <c r="H126" s="2">
        <v>0</v>
      </c>
      <c r="I126" s="5">
        <v>1</v>
      </c>
      <c r="J126" s="5">
        <v>0</v>
      </c>
      <c r="K126" s="11" t="str">
        <f>HYPERLINK("https://www.geoportal.ch/ktsg/map/34?y=2748571&amp;x=1254862&amp;scale=2500&amp;topic=coord&amp;highlight=1&amp;label=Standort|Feuerverbotsplakat","Karte")</f>
        <v>Karte</v>
      </c>
    </row>
    <row r="127" spans="1:11" x14ac:dyDescent="0.2">
      <c r="A127" s="1" t="s">
        <v>422</v>
      </c>
      <c r="B127" s="1" t="s">
        <v>510</v>
      </c>
      <c r="C127" s="1" t="s">
        <v>49</v>
      </c>
      <c r="D127" s="2">
        <v>1126</v>
      </c>
      <c r="E127" s="1" t="s">
        <v>576</v>
      </c>
      <c r="F127" s="4">
        <v>2749860</v>
      </c>
      <c r="G127" s="4">
        <v>1254627</v>
      </c>
      <c r="H127" s="2">
        <v>0</v>
      </c>
      <c r="I127" s="5">
        <v>1</v>
      </c>
      <c r="J127" s="5">
        <v>0</v>
      </c>
      <c r="K127" s="11" t="str">
        <f>HYPERLINK("https://www.geoportal.ch/ktsg/map/34?y=2749860&amp;x=1254627&amp;scale=2500&amp;topic=coord&amp;highlight=1&amp;label=Standort|Feuerverbotsplakat","Karte")</f>
        <v>Karte</v>
      </c>
    </row>
    <row r="128" spans="1:11" x14ac:dyDescent="0.2">
      <c r="A128" s="1" t="s">
        <v>422</v>
      </c>
      <c r="B128" s="1" t="s">
        <v>31</v>
      </c>
      <c r="C128" s="1" t="s">
        <v>480</v>
      </c>
      <c r="D128" s="2">
        <v>1127</v>
      </c>
      <c r="E128" s="1" t="s">
        <v>209</v>
      </c>
      <c r="F128" s="4">
        <v>2749903</v>
      </c>
      <c r="G128" s="4">
        <v>1261279</v>
      </c>
      <c r="H128" s="2">
        <v>0</v>
      </c>
      <c r="I128" s="5">
        <v>1</v>
      </c>
      <c r="J128" s="5">
        <v>0</v>
      </c>
      <c r="K128" s="11" t="str">
        <f>HYPERLINK("https://www.geoportal.ch/ktsg/map/34?y=2749903&amp;x=1261279&amp;scale=2500&amp;topic=coord&amp;highlight=1&amp;label=Standort|Feuerverbotsplakat","Karte")</f>
        <v>Karte</v>
      </c>
    </row>
    <row r="129" spans="1:11" x14ac:dyDescent="0.2">
      <c r="A129" s="1" t="s">
        <v>422</v>
      </c>
      <c r="B129" s="1" t="s">
        <v>489</v>
      </c>
      <c r="C129" s="1" t="s">
        <v>480</v>
      </c>
      <c r="D129" s="2">
        <v>1128</v>
      </c>
      <c r="E129" s="1" t="s">
        <v>577</v>
      </c>
      <c r="F129" s="4">
        <v>2751334</v>
      </c>
      <c r="G129" s="4">
        <v>1260921</v>
      </c>
      <c r="H129" s="2">
        <v>0</v>
      </c>
      <c r="I129" s="5">
        <v>1</v>
      </c>
      <c r="J129" s="5">
        <v>0</v>
      </c>
      <c r="K129" s="11" t="str">
        <f>HYPERLINK("https://www.geoportal.ch/ktsg/map/34?y=2751334&amp;x=1260921&amp;scale=2500&amp;topic=coord&amp;highlight=1&amp;label=Standort|Feuerverbotsplakat","Karte")</f>
        <v>Karte</v>
      </c>
    </row>
    <row r="130" spans="1:11" x14ac:dyDescent="0.2">
      <c r="A130" s="1" t="s">
        <v>422</v>
      </c>
      <c r="B130" s="1" t="s">
        <v>489</v>
      </c>
      <c r="C130" s="1" t="s">
        <v>480</v>
      </c>
      <c r="D130" s="2">
        <v>1129</v>
      </c>
      <c r="E130" s="1" t="s">
        <v>490</v>
      </c>
      <c r="F130" s="4">
        <v>2751729</v>
      </c>
      <c r="G130" s="4">
        <v>1260702</v>
      </c>
      <c r="H130" s="2">
        <v>0</v>
      </c>
      <c r="I130" s="5">
        <v>1</v>
      </c>
      <c r="J130" s="5">
        <v>0</v>
      </c>
      <c r="K130" s="11" t="str">
        <f>HYPERLINK("https://www.geoportal.ch/ktsg/map/34?y=2751729&amp;x=1260702&amp;scale=2500&amp;topic=coord&amp;highlight=1&amp;label=Standort|Feuerverbotsplakat","Karte")</f>
        <v>Karte</v>
      </c>
    </row>
    <row r="131" spans="1:11" x14ac:dyDescent="0.2">
      <c r="A131" s="1" t="s">
        <v>422</v>
      </c>
      <c r="B131" s="1" t="s">
        <v>30</v>
      </c>
      <c r="C131" s="1" t="s">
        <v>480</v>
      </c>
      <c r="D131" s="2">
        <v>1130</v>
      </c>
      <c r="E131" s="1" t="s">
        <v>792</v>
      </c>
      <c r="F131" s="4">
        <v>2753185</v>
      </c>
      <c r="G131" s="4">
        <v>1257810</v>
      </c>
      <c r="H131" s="2">
        <v>0</v>
      </c>
      <c r="I131" s="5">
        <v>1</v>
      </c>
      <c r="J131" s="5">
        <v>0</v>
      </c>
      <c r="K131" s="11" t="str">
        <f>HYPERLINK("https://www.geoportal.ch/ktsg/map/34?y=2753185&amp;x=1257810&amp;scale=2500&amp;topic=coord&amp;highlight=1&amp;label=Standort|Feuerverbotsplakat","Karte")</f>
        <v>Karte</v>
      </c>
    </row>
    <row r="132" spans="1:11" x14ac:dyDescent="0.2">
      <c r="A132" s="1" t="s">
        <v>422</v>
      </c>
      <c r="B132" s="1" t="s">
        <v>30</v>
      </c>
      <c r="C132" s="1" t="s">
        <v>480</v>
      </c>
      <c r="D132" s="2">
        <v>1131</v>
      </c>
      <c r="E132" s="1" t="s">
        <v>208</v>
      </c>
      <c r="F132" s="4">
        <v>2751330</v>
      </c>
      <c r="G132" s="4">
        <v>1257052</v>
      </c>
      <c r="H132" s="2">
        <v>0</v>
      </c>
      <c r="I132" s="5">
        <v>1</v>
      </c>
      <c r="J132" s="5">
        <v>0</v>
      </c>
      <c r="K132" s="11" t="str">
        <f>HYPERLINK("https://www.geoportal.ch/ktsg/map/34?y=2751330&amp;x=1257052&amp;scale=2500&amp;topic=coord&amp;highlight=1&amp;label=Standort|Feuerverbotsplakat","Karte")</f>
        <v>Karte</v>
      </c>
    </row>
    <row r="133" spans="1:11" x14ac:dyDescent="0.2">
      <c r="A133" s="1" t="s">
        <v>422</v>
      </c>
      <c r="B133" s="1" t="s">
        <v>30</v>
      </c>
      <c r="C133" s="1" t="s">
        <v>480</v>
      </c>
      <c r="D133" s="2">
        <v>1132</v>
      </c>
      <c r="E133" s="1" t="s">
        <v>614</v>
      </c>
      <c r="F133" s="4">
        <v>2751891</v>
      </c>
      <c r="G133" s="4">
        <v>1257708</v>
      </c>
      <c r="H133" s="2">
        <v>0</v>
      </c>
      <c r="I133" s="5">
        <v>1</v>
      </c>
      <c r="J133" s="5">
        <v>0</v>
      </c>
      <c r="K133" s="11" t="str">
        <f>HYPERLINK("https://www.geoportal.ch/ktsg/map/34?y=2751891&amp;x=1257708&amp;scale=2500&amp;topic=coord&amp;highlight=1&amp;label=Standort|Feuerverbotsplakat","Karte")</f>
        <v>Karte</v>
      </c>
    </row>
    <row r="134" spans="1:11" x14ac:dyDescent="0.2">
      <c r="A134" s="1" t="s">
        <v>422</v>
      </c>
      <c r="B134" s="1" t="s">
        <v>48</v>
      </c>
      <c r="C134" s="1" t="s">
        <v>24</v>
      </c>
      <c r="D134" s="2">
        <v>1133</v>
      </c>
      <c r="E134" s="1" t="s">
        <v>410</v>
      </c>
      <c r="F134" s="4">
        <v>2725707</v>
      </c>
      <c r="G134" s="4">
        <v>1255257</v>
      </c>
      <c r="H134" s="2">
        <v>0</v>
      </c>
      <c r="I134" s="5">
        <v>1</v>
      </c>
      <c r="J134" s="5">
        <v>0</v>
      </c>
      <c r="K134" s="11" t="str">
        <f>HYPERLINK("https://www.geoportal.ch/ktsg/map/34?y=2725707&amp;x=1255257&amp;scale=2500&amp;topic=coord&amp;highlight=1&amp;label=Standort|Feuerverbotsplakat","Karte")</f>
        <v>Karte</v>
      </c>
    </row>
    <row r="135" spans="1:11" x14ac:dyDescent="0.2">
      <c r="A135" s="1" t="s">
        <v>422</v>
      </c>
      <c r="B135" s="1" t="s">
        <v>48</v>
      </c>
      <c r="C135" s="1" t="s">
        <v>45</v>
      </c>
      <c r="D135" s="2">
        <v>1134</v>
      </c>
      <c r="E135" s="1" t="s">
        <v>250</v>
      </c>
      <c r="F135" s="4">
        <v>2723633</v>
      </c>
      <c r="G135" s="4">
        <v>1257496</v>
      </c>
      <c r="H135" s="2">
        <v>0</v>
      </c>
      <c r="I135" s="5">
        <v>1</v>
      </c>
      <c r="J135" s="5">
        <v>0</v>
      </c>
      <c r="K135" s="11" t="str">
        <f>HYPERLINK("https://www.geoportal.ch/ktsg/map/34?y=2723633&amp;x=1257496&amp;scale=2500&amp;topic=coord&amp;highlight=1&amp;label=Standort|Feuerverbotsplakat","Karte")</f>
        <v>Karte</v>
      </c>
    </row>
    <row r="136" spans="1:11" x14ac:dyDescent="0.2">
      <c r="A136" s="1" t="s">
        <v>422</v>
      </c>
      <c r="B136" s="1" t="s">
        <v>48</v>
      </c>
      <c r="C136" s="1" t="s">
        <v>45</v>
      </c>
      <c r="D136" s="2">
        <v>1135</v>
      </c>
      <c r="E136" s="1" t="s">
        <v>248</v>
      </c>
      <c r="F136" s="4">
        <v>2724881</v>
      </c>
      <c r="G136" s="4">
        <v>1255721</v>
      </c>
      <c r="H136" s="2">
        <v>0</v>
      </c>
      <c r="I136" s="5">
        <v>1</v>
      </c>
      <c r="J136" s="5">
        <v>0</v>
      </c>
      <c r="K136" s="11" t="str">
        <f>HYPERLINK("https://www.geoportal.ch/ktsg/map/34?y=2724881&amp;x=1255721&amp;scale=2500&amp;topic=coord&amp;highlight=1&amp;label=Standort|Feuerverbotsplakat","Karte")</f>
        <v>Karte</v>
      </c>
    </row>
    <row r="137" spans="1:11" x14ac:dyDescent="0.2">
      <c r="A137" s="1" t="s">
        <v>422</v>
      </c>
      <c r="B137" s="1" t="s">
        <v>48</v>
      </c>
      <c r="C137" s="1" t="s">
        <v>45</v>
      </c>
      <c r="D137" s="2">
        <v>1136</v>
      </c>
      <c r="E137" s="1" t="s">
        <v>248</v>
      </c>
      <c r="F137" s="4">
        <v>2725499</v>
      </c>
      <c r="G137" s="4">
        <v>1255567</v>
      </c>
      <c r="H137" s="2">
        <v>0</v>
      </c>
      <c r="I137" s="5">
        <v>1</v>
      </c>
      <c r="J137" s="5">
        <v>0</v>
      </c>
      <c r="K137" s="11" t="str">
        <f>HYPERLINK("https://www.geoportal.ch/ktsg/map/34?y=2725499&amp;x=1255567&amp;scale=2500&amp;topic=coord&amp;highlight=1&amp;label=Standort|Feuerverbotsplakat","Karte")</f>
        <v>Karte</v>
      </c>
    </row>
    <row r="138" spans="1:11" x14ac:dyDescent="0.2">
      <c r="A138" s="1" t="s">
        <v>422</v>
      </c>
      <c r="B138" s="1" t="s">
        <v>48</v>
      </c>
      <c r="C138" s="1" t="s">
        <v>45</v>
      </c>
      <c r="D138" s="2">
        <v>1137</v>
      </c>
      <c r="E138" s="1" t="s">
        <v>409</v>
      </c>
      <c r="F138" s="4">
        <v>2726085</v>
      </c>
      <c r="G138" s="4">
        <v>1255808</v>
      </c>
      <c r="H138" s="2">
        <v>0</v>
      </c>
      <c r="I138" s="5">
        <v>1</v>
      </c>
      <c r="J138" s="5">
        <v>0</v>
      </c>
      <c r="K138" s="11" t="str">
        <f>HYPERLINK("https://www.geoportal.ch/ktsg/map/34?y=2726085&amp;x=1255808&amp;scale=2500&amp;topic=coord&amp;highlight=1&amp;label=Standort|Feuerverbotsplakat","Karte")</f>
        <v>Karte</v>
      </c>
    </row>
    <row r="139" spans="1:11" x14ac:dyDescent="0.2">
      <c r="A139" s="1" t="s">
        <v>422</v>
      </c>
      <c r="B139" s="1" t="s">
        <v>48</v>
      </c>
      <c r="C139" s="1" t="s">
        <v>45</v>
      </c>
      <c r="D139" s="2">
        <v>1138</v>
      </c>
      <c r="E139" s="1" t="s">
        <v>408</v>
      </c>
      <c r="F139" s="4">
        <v>2727053</v>
      </c>
      <c r="G139" s="4">
        <v>1255697</v>
      </c>
      <c r="H139" s="2">
        <v>0</v>
      </c>
      <c r="I139" s="5">
        <v>1</v>
      </c>
      <c r="J139" s="5">
        <v>0</v>
      </c>
      <c r="K139" s="11" t="str">
        <f>HYPERLINK("https://www.geoportal.ch/ktsg/map/34?y=2727053&amp;x=1255697&amp;scale=2500&amp;topic=coord&amp;highlight=1&amp;label=Standort|Feuerverbotsplakat","Karte")</f>
        <v>Karte</v>
      </c>
    </row>
    <row r="140" spans="1:11" x14ac:dyDescent="0.2">
      <c r="A140" s="1" t="s">
        <v>422</v>
      </c>
      <c r="B140" s="1" t="s">
        <v>48</v>
      </c>
      <c r="C140" s="1" t="s">
        <v>45</v>
      </c>
      <c r="D140" s="2">
        <v>1139</v>
      </c>
      <c r="E140" s="1" t="s">
        <v>407</v>
      </c>
      <c r="F140" s="4">
        <v>2727183</v>
      </c>
      <c r="G140" s="4">
        <v>1255433</v>
      </c>
      <c r="H140" s="2">
        <v>0</v>
      </c>
      <c r="I140" s="5">
        <v>1</v>
      </c>
      <c r="J140" s="5">
        <v>0</v>
      </c>
      <c r="K140" s="11" t="str">
        <f>HYPERLINK("https://www.geoportal.ch/ktsg/map/34?y=2727183&amp;x=1255433&amp;scale=2500&amp;topic=coord&amp;highlight=1&amp;label=Standort|Feuerverbotsplakat","Karte")</f>
        <v>Karte</v>
      </c>
    </row>
    <row r="141" spans="1:11" x14ac:dyDescent="0.2">
      <c r="A141" s="1" t="s">
        <v>422</v>
      </c>
      <c r="B141" s="1" t="s">
        <v>48</v>
      </c>
      <c r="C141" s="1" t="s">
        <v>45</v>
      </c>
      <c r="D141" s="2">
        <v>1140</v>
      </c>
      <c r="E141" s="1" t="s">
        <v>247</v>
      </c>
      <c r="F141" s="4">
        <v>2727050</v>
      </c>
      <c r="G141" s="4">
        <v>1257621</v>
      </c>
      <c r="H141" s="2">
        <v>0</v>
      </c>
      <c r="I141" s="5">
        <v>1</v>
      </c>
      <c r="J141" s="5">
        <v>0</v>
      </c>
      <c r="K141" s="11" t="str">
        <f>HYPERLINK("https://www.geoportal.ch/ktsg/map/34?y=2727050&amp;x=1257621&amp;scale=2500&amp;topic=coord&amp;highlight=1&amp;label=Standort|Feuerverbotsplakat","Karte")</f>
        <v>Karte</v>
      </c>
    </row>
    <row r="142" spans="1:11" x14ac:dyDescent="0.2">
      <c r="A142" s="1" t="s">
        <v>422</v>
      </c>
      <c r="B142" s="1" t="s">
        <v>48</v>
      </c>
      <c r="C142" s="1" t="s">
        <v>45</v>
      </c>
      <c r="D142" s="2">
        <v>1141</v>
      </c>
      <c r="E142" s="1" t="s">
        <v>246</v>
      </c>
      <c r="F142" s="4">
        <v>2728972</v>
      </c>
      <c r="G142" s="4">
        <v>1257378</v>
      </c>
      <c r="H142" s="2">
        <v>0</v>
      </c>
      <c r="I142" s="5">
        <v>1</v>
      </c>
      <c r="J142" s="5">
        <v>0</v>
      </c>
      <c r="K142" s="11" t="str">
        <f>HYPERLINK("https://www.geoportal.ch/ktsg/map/34?y=2728972&amp;x=1257378&amp;scale=2500&amp;topic=coord&amp;highlight=1&amp;label=Standort|Feuerverbotsplakat","Karte")</f>
        <v>Karte</v>
      </c>
    </row>
    <row r="143" spans="1:11" x14ac:dyDescent="0.2">
      <c r="A143" s="1" t="s">
        <v>422</v>
      </c>
      <c r="B143" s="1" t="s">
        <v>35</v>
      </c>
      <c r="C143" s="1" t="s">
        <v>50</v>
      </c>
      <c r="D143" s="2">
        <v>1142</v>
      </c>
      <c r="E143" s="1" t="s">
        <v>256</v>
      </c>
      <c r="F143" s="4">
        <v>2740386</v>
      </c>
      <c r="G143" s="4">
        <v>1255099</v>
      </c>
      <c r="H143" s="2">
        <v>0</v>
      </c>
      <c r="I143" s="5">
        <v>1</v>
      </c>
      <c r="J143" s="5">
        <v>0</v>
      </c>
      <c r="K143" s="11" t="str">
        <f>HYPERLINK("https://www.geoportal.ch/ktsg/map/34?y=2740386&amp;x=1255099&amp;scale=2500&amp;topic=coord&amp;highlight=1&amp;label=Standort|Feuerverbotsplakat","Karte")</f>
        <v>Karte</v>
      </c>
    </row>
    <row r="144" spans="1:11" x14ac:dyDescent="0.2">
      <c r="A144" s="1" t="s">
        <v>422</v>
      </c>
      <c r="B144" s="1" t="s">
        <v>35</v>
      </c>
      <c r="C144" s="1" t="s">
        <v>49</v>
      </c>
      <c r="D144" s="2">
        <v>1143</v>
      </c>
      <c r="E144" s="1" t="s">
        <v>270</v>
      </c>
      <c r="F144" s="4">
        <v>2741997</v>
      </c>
      <c r="G144" s="4">
        <v>1258955</v>
      </c>
      <c r="H144" s="2">
        <v>0</v>
      </c>
      <c r="I144" s="5">
        <v>1</v>
      </c>
      <c r="J144" s="5">
        <v>0</v>
      </c>
      <c r="K144" s="11" t="str">
        <f>HYPERLINK("https://www.geoportal.ch/ktsg/map/34?y=2741997&amp;x=1258955&amp;scale=2500&amp;topic=coord&amp;highlight=1&amp;label=Standort|Feuerverbotsplakat","Karte")</f>
        <v>Karte</v>
      </c>
    </row>
    <row r="145" spans="1:11" x14ac:dyDescent="0.2">
      <c r="A145" s="1" t="s">
        <v>422</v>
      </c>
      <c r="B145" s="1" t="s">
        <v>35</v>
      </c>
      <c r="C145" s="1" t="s">
        <v>49</v>
      </c>
      <c r="D145" s="2">
        <v>1144</v>
      </c>
      <c r="E145" s="1" t="s">
        <v>511</v>
      </c>
      <c r="F145" s="4">
        <v>2742721</v>
      </c>
      <c r="G145" s="4">
        <v>1257410</v>
      </c>
      <c r="H145" s="2">
        <v>0</v>
      </c>
      <c r="I145" s="5">
        <v>1</v>
      </c>
      <c r="J145" s="5">
        <v>0</v>
      </c>
      <c r="K145" s="11" t="str">
        <f>HYPERLINK("https://www.geoportal.ch/ktsg/map/34?y=2742721&amp;x=1257410&amp;scale=2500&amp;topic=coord&amp;highlight=1&amp;label=Standort|Feuerverbotsplakat","Karte")</f>
        <v>Karte</v>
      </c>
    </row>
    <row r="146" spans="1:11" x14ac:dyDescent="0.2">
      <c r="A146" s="1" t="s">
        <v>422</v>
      </c>
      <c r="B146" s="1" t="s">
        <v>35</v>
      </c>
      <c r="C146" s="1" t="s">
        <v>49</v>
      </c>
      <c r="D146" s="2">
        <v>1145</v>
      </c>
      <c r="E146" s="1" t="s">
        <v>615</v>
      </c>
      <c r="F146" s="4">
        <v>2743308</v>
      </c>
      <c r="G146" s="4">
        <v>1257628</v>
      </c>
      <c r="H146" s="2">
        <v>0</v>
      </c>
      <c r="I146" s="5">
        <v>1</v>
      </c>
      <c r="J146" s="5">
        <v>0</v>
      </c>
      <c r="K146" s="11" t="str">
        <f>HYPERLINK("https://www.geoportal.ch/ktsg/map/34?y=2743308&amp;x=1257628&amp;scale=2500&amp;topic=coord&amp;highlight=1&amp;label=Standort|Feuerverbotsplakat","Karte")</f>
        <v>Karte</v>
      </c>
    </row>
    <row r="147" spans="1:11" x14ac:dyDescent="0.2">
      <c r="A147" s="1" t="s">
        <v>422</v>
      </c>
      <c r="B147" s="1" t="s">
        <v>35</v>
      </c>
      <c r="C147" s="1" t="s">
        <v>33</v>
      </c>
      <c r="D147" s="2">
        <v>1146</v>
      </c>
      <c r="E147" s="1" t="s">
        <v>269</v>
      </c>
      <c r="F147" s="4">
        <v>2741564</v>
      </c>
      <c r="G147" s="4">
        <v>1257812</v>
      </c>
      <c r="H147" s="2">
        <v>0</v>
      </c>
      <c r="I147" s="5">
        <v>1</v>
      </c>
      <c r="J147" s="5">
        <v>0</v>
      </c>
      <c r="K147" s="11" t="str">
        <f>HYPERLINK("https://www.geoportal.ch/ktsg/map/34?y=2741564&amp;x=1257812&amp;scale=2500&amp;topic=coord&amp;highlight=1&amp;label=Standort|Feuerverbotsplakat","Karte")</f>
        <v>Karte</v>
      </c>
    </row>
    <row r="148" spans="1:11" x14ac:dyDescent="0.2">
      <c r="A148" s="1" t="s">
        <v>422</v>
      </c>
      <c r="B148" s="1" t="s">
        <v>35</v>
      </c>
      <c r="C148" s="1" t="s">
        <v>33</v>
      </c>
      <c r="D148" s="2">
        <v>1147</v>
      </c>
      <c r="E148" s="1" t="s">
        <v>216</v>
      </c>
      <c r="F148" s="4">
        <v>2739471</v>
      </c>
      <c r="G148" s="4">
        <v>1258680</v>
      </c>
      <c r="H148" s="2">
        <v>0</v>
      </c>
      <c r="I148" s="5">
        <v>1</v>
      </c>
      <c r="J148" s="5">
        <v>0</v>
      </c>
      <c r="K148" s="11" t="str">
        <f>HYPERLINK("https://www.geoportal.ch/ktsg/map/34?y=2739471&amp;x=1258680&amp;scale=2500&amp;topic=coord&amp;highlight=1&amp;label=Standort|Feuerverbotsplakat","Karte")</f>
        <v>Karte</v>
      </c>
    </row>
    <row r="149" spans="1:11" x14ac:dyDescent="0.2">
      <c r="A149" s="1" t="s">
        <v>422</v>
      </c>
      <c r="B149" s="1" t="s">
        <v>35</v>
      </c>
      <c r="C149" s="1" t="s">
        <v>33</v>
      </c>
      <c r="D149" s="2">
        <v>1148</v>
      </c>
      <c r="E149" s="1" t="s">
        <v>215</v>
      </c>
      <c r="F149" s="4">
        <v>2741061</v>
      </c>
      <c r="G149" s="4">
        <v>1258680</v>
      </c>
      <c r="H149" s="2">
        <v>0</v>
      </c>
      <c r="I149" s="5">
        <v>1</v>
      </c>
      <c r="J149" s="5">
        <v>0</v>
      </c>
      <c r="K149" s="11" t="str">
        <f>HYPERLINK("https://www.geoportal.ch/ktsg/map/34?y=2741061&amp;x=1258680&amp;scale=2500&amp;topic=coord&amp;highlight=1&amp;label=Standort|Feuerverbotsplakat","Karte")</f>
        <v>Karte</v>
      </c>
    </row>
    <row r="150" spans="1:11" x14ac:dyDescent="0.2">
      <c r="A150" s="1" t="s">
        <v>422</v>
      </c>
      <c r="B150" s="1" t="s">
        <v>35</v>
      </c>
      <c r="C150" s="1" t="s">
        <v>33</v>
      </c>
      <c r="D150" s="2">
        <v>1149</v>
      </c>
      <c r="E150" s="1" t="s">
        <v>214</v>
      </c>
      <c r="F150" s="4">
        <v>2743284</v>
      </c>
      <c r="G150" s="4">
        <v>1258158</v>
      </c>
      <c r="H150" s="2">
        <v>0</v>
      </c>
      <c r="I150" s="5">
        <v>1</v>
      </c>
      <c r="J150" s="5">
        <v>0</v>
      </c>
      <c r="K150" s="11" t="str">
        <f>HYPERLINK("https://www.geoportal.ch/ktsg/map/34?y=2743284&amp;x=1258158&amp;scale=2500&amp;topic=coord&amp;highlight=1&amp;label=Standort|Feuerverbotsplakat","Karte")</f>
        <v>Karte</v>
      </c>
    </row>
    <row r="151" spans="1:11" x14ac:dyDescent="0.2">
      <c r="A151" s="1" t="s">
        <v>422</v>
      </c>
      <c r="B151" s="1" t="s">
        <v>35</v>
      </c>
      <c r="C151" s="1" t="s">
        <v>33</v>
      </c>
      <c r="D151" s="2">
        <v>1150</v>
      </c>
      <c r="E151" s="1" t="s">
        <v>213</v>
      </c>
      <c r="F151" s="4">
        <v>2741371</v>
      </c>
      <c r="G151" s="4">
        <v>1257279</v>
      </c>
      <c r="H151" s="2">
        <v>0</v>
      </c>
      <c r="I151" s="5">
        <v>1</v>
      </c>
      <c r="J151" s="5">
        <v>0</v>
      </c>
      <c r="K151" s="11" t="str">
        <f>HYPERLINK("https://www.geoportal.ch/ktsg/map/34?y=2741371&amp;x=1257279&amp;scale=2500&amp;topic=coord&amp;highlight=1&amp;label=Standort|Feuerverbotsplakat","Karte")</f>
        <v>Karte</v>
      </c>
    </row>
    <row r="152" spans="1:11" x14ac:dyDescent="0.2">
      <c r="A152" s="1" t="s">
        <v>422</v>
      </c>
      <c r="B152" s="1" t="s">
        <v>512</v>
      </c>
      <c r="C152" s="1" t="s">
        <v>886</v>
      </c>
      <c r="D152" s="2">
        <v>1151</v>
      </c>
      <c r="E152" s="1" t="s">
        <v>513</v>
      </c>
      <c r="F152" s="4">
        <v>2722759</v>
      </c>
      <c r="G152" s="4">
        <v>1257885</v>
      </c>
      <c r="H152" s="2">
        <v>0</v>
      </c>
      <c r="I152" s="5">
        <v>1</v>
      </c>
      <c r="J152" s="5">
        <v>0</v>
      </c>
      <c r="K152" s="11" t="str">
        <f>HYPERLINK("https://www.geoportal.ch/ktsg/map/34?y=2722759&amp;x=1257885&amp;scale=2500&amp;topic=coord&amp;highlight=1&amp;label=Standort|Feuerverbotsplakat","Karte")</f>
        <v>Karte</v>
      </c>
    </row>
    <row r="153" spans="1:11" x14ac:dyDescent="0.2">
      <c r="A153" s="1" t="s">
        <v>422</v>
      </c>
      <c r="B153" s="1" t="s">
        <v>512</v>
      </c>
      <c r="C153" s="1" t="s">
        <v>886</v>
      </c>
      <c r="D153" s="2">
        <v>1152</v>
      </c>
      <c r="E153" s="1" t="s">
        <v>514</v>
      </c>
      <c r="F153" s="4">
        <v>2722486</v>
      </c>
      <c r="G153" s="4">
        <v>1257968</v>
      </c>
      <c r="H153" s="2">
        <v>0</v>
      </c>
      <c r="I153" s="5">
        <v>1</v>
      </c>
      <c r="J153" s="5">
        <v>0</v>
      </c>
      <c r="K153" s="11" t="str">
        <f>HYPERLINK("https://www.geoportal.ch/ktsg/map/34?y=2722486&amp;x=1257968&amp;scale=2500&amp;topic=coord&amp;highlight=1&amp;label=Standort|Feuerverbotsplakat","Karte")</f>
        <v>Karte</v>
      </c>
    </row>
    <row r="154" spans="1:11" x14ac:dyDescent="0.2">
      <c r="A154" s="1" t="s">
        <v>422</v>
      </c>
      <c r="B154" s="1" t="s">
        <v>512</v>
      </c>
      <c r="C154" s="1" t="s">
        <v>886</v>
      </c>
      <c r="D154" s="2">
        <v>1153</v>
      </c>
      <c r="E154" s="1" t="s">
        <v>515</v>
      </c>
      <c r="F154" s="4">
        <v>2722561</v>
      </c>
      <c r="G154" s="4">
        <v>1258722</v>
      </c>
      <c r="H154" s="2">
        <v>0</v>
      </c>
      <c r="I154" s="5">
        <v>1</v>
      </c>
      <c r="J154" s="5">
        <v>0</v>
      </c>
      <c r="K154" s="11" t="str">
        <f>HYPERLINK("https://www.geoportal.ch/ktsg/map/34?y=2722561&amp;x=1258722&amp;scale=2500&amp;topic=coord&amp;highlight=1&amp;label=Standort|Feuerverbotsplakat","Karte")</f>
        <v>Karte</v>
      </c>
    </row>
    <row r="155" spans="1:11" x14ac:dyDescent="0.2">
      <c r="A155" s="1" t="s">
        <v>422</v>
      </c>
      <c r="B155" s="1" t="s">
        <v>512</v>
      </c>
      <c r="C155" s="1" t="s">
        <v>886</v>
      </c>
      <c r="D155" s="2">
        <v>1154</v>
      </c>
      <c r="E155" s="1" t="s">
        <v>616</v>
      </c>
      <c r="F155" s="4">
        <v>2722997</v>
      </c>
      <c r="G155" s="4">
        <v>1259374</v>
      </c>
      <c r="H155" s="2">
        <v>0</v>
      </c>
      <c r="I155" s="5">
        <v>1</v>
      </c>
      <c r="J155" s="5">
        <v>0</v>
      </c>
      <c r="K155" s="11" t="str">
        <f>HYPERLINK("https://www.geoportal.ch/ktsg/map/34?y=2722997&amp;x=1259374&amp;scale=2500&amp;topic=coord&amp;highlight=1&amp;label=Standort|Feuerverbotsplakat","Karte")</f>
        <v>Karte</v>
      </c>
    </row>
    <row r="156" spans="1:11" x14ac:dyDescent="0.2">
      <c r="A156" s="1" t="s">
        <v>422</v>
      </c>
      <c r="B156" s="1" t="s">
        <v>512</v>
      </c>
      <c r="C156" s="1" t="s">
        <v>886</v>
      </c>
      <c r="D156" s="2">
        <v>1155</v>
      </c>
      <c r="E156" s="1" t="s">
        <v>516</v>
      </c>
      <c r="F156" s="4">
        <v>2723185</v>
      </c>
      <c r="G156" s="4">
        <v>1261492</v>
      </c>
      <c r="H156" s="2">
        <v>0</v>
      </c>
      <c r="I156" s="5">
        <v>1</v>
      </c>
      <c r="J156" s="5">
        <v>0</v>
      </c>
      <c r="K156" s="11" t="str">
        <f>HYPERLINK("https://www.geoportal.ch/ktsg/map/34?y=2723185&amp;x=1261492&amp;scale=2500&amp;topic=coord&amp;highlight=1&amp;label=Standort|Feuerverbotsplakat","Karte")</f>
        <v>Karte</v>
      </c>
    </row>
    <row r="157" spans="1:11" x14ac:dyDescent="0.2">
      <c r="A157" s="1" t="s">
        <v>422</v>
      </c>
      <c r="B157" s="1" t="s">
        <v>512</v>
      </c>
      <c r="C157" s="1" t="s">
        <v>886</v>
      </c>
      <c r="D157" s="2">
        <v>1156</v>
      </c>
      <c r="E157" s="1" t="s">
        <v>517</v>
      </c>
      <c r="F157" s="4">
        <v>2723185</v>
      </c>
      <c r="G157" s="4">
        <v>1259713</v>
      </c>
      <c r="H157" s="2">
        <v>0</v>
      </c>
      <c r="I157" s="5">
        <v>1</v>
      </c>
      <c r="J157" s="5">
        <v>0</v>
      </c>
      <c r="K157" s="11" t="str">
        <f>HYPERLINK("https://www.geoportal.ch/ktsg/map/34?y=2723185&amp;x=1259713&amp;scale=2500&amp;topic=coord&amp;highlight=1&amp;label=Standort|Feuerverbotsplakat","Karte")</f>
        <v>Karte</v>
      </c>
    </row>
    <row r="158" spans="1:11" x14ac:dyDescent="0.2">
      <c r="A158" s="1" t="s">
        <v>422</v>
      </c>
      <c r="B158" s="1" t="s">
        <v>512</v>
      </c>
      <c r="C158" s="1" t="s">
        <v>886</v>
      </c>
      <c r="D158" s="2">
        <v>1157</v>
      </c>
      <c r="E158" s="1" t="s">
        <v>518</v>
      </c>
      <c r="F158" s="4">
        <v>2721206</v>
      </c>
      <c r="G158" s="4">
        <v>1259850</v>
      </c>
      <c r="H158" s="2">
        <v>0</v>
      </c>
      <c r="I158" s="5">
        <v>1</v>
      </c>
      <c r="J158" s="5">
        <v>0</v>
      </c>
      <c r="K158" s="11" t="str">
        <f>HYPERLINK("https://www.geoportal.ch/ktsg/map/34?y=2721206&amp;x=1259850&amp;scale=2500&amp;topic=coord&amp;highlight=1&amp;label=Standort|Feuerverbotsplakat","Karte")</f>
        <v>Karte</v>
      </c>
    </row>
    <row r="159" spans="1:11" x14ac:dyDescent="0.2">
      <c r="A159" s="1" t="s">
        <v>422</v>
      </c>
      <c r="B159" s="1" t="s">
        <v>512</v>
      </c>
      <c r="C159" s="1" t="s">
        <v>886</v>
      </c>
      <c r="D159" s="2">
        <v>1158</v>
      </c>
      <c r="E159" s="1" t="s">
        <v>887</v>
      </c>
      <c r="F159" s="4">
        <v>2722078</v>
      </c>
      <c r="G159" s="4">
        <v>1256692</v>
      </c>
      <c r="H159" s="2">
        <v>0</v>
      </c>
      <c r="I159" s="5">
        <v>0</v>
      </c>
      <c r="J159" s="5">
        <v>1</v>
      </c>
      <c r="K159" s="11" t="str">
        <f>HYPERLINK("https://www.geoportal.ch/ktsg/map/34?y=2722078&amp;x=1256692&amp;scale=2500&amp;topic=coord&amp;highlight=1&amp;label=Standort|Feuerverbotsplakat","Karte")</f>
        <v>Karte</v>
      </c>
    </row>
    <row r="160" spans="1:11" x14ac:dyDescent="0.2">
      <c r="A160" s="1" t="s">
        <v>422</v>
      </c>
      <c r="B160" s="1" t="s">
        <v>512</v>
      </c>
      <c r="C160" s="1" t="s">
        <v>886</v>
      </c>
      <c r="D160" s="2">
        <v>1159</v>
      </c>
      <c r="E160" s="1" t="s">
        <v>888</v>
      </c>
      <c r="F160" s="4">
        <v>2722908</v>
      </c>
      <c r="G160" s="4">
        <v>1258427</v>
      </c>
      <c r="H160" s="2">
        <v>0</v>
      </c>
      <c r="I160" s="5">
        <v>0</v>
      </c>
      <c r="J160" s="5">
        <v>1</v>
      </c>
      <c r="K160" s="11" t="str">
        <f>HYPERLINK("https://www.geoportal.ch/ktsg/map/34?y=2722908&amp;x=1258427&amp;scale=2500&amp;topic=coord&amp;highlight=1&amp;label=Standort|Feuerverbotsplakat","Karte")</f>
        <v>Karte</v>
      </c>
    </row>
    <row r="161" spans="1:11" x14ac:dyDescent="0.2">
      <c r="A161" s="1" t="s">
        <v>422</v>
      </c>
      <c r="B161" s="1" t="s">
        <v>512</v>
      </c>
      <c r="C161" s="1" t="s">
        <v>886</v>
      </c>
      <c r="D161" s="2">
        <v>1160</v>
      </c>
      <c r="E161" s="1" t="s">
        <v>889</v>
      </c>
      <c r="F161" s="4">
        <v>2721905</v>
      </c>
      <c r="G161" s="4">
        <v>1258857</v>
      </c>
      <c r="H161" s="2">
        <v>0</v>
      </c>
      <c r="I161" s="5">
        <v>0</v>
      </c>
      <c r="J161" s="5">
        <v>1</v>
      </c>
      <c r="K161" s="11" t="str">
        <f>HYPERLINK("https://www.geoportal.ch/ktsg/map/34?y=2721905&amp;x=1258857&amp;scale=2500&amp;topic=coord&amp;highlight=1&amp;label=Standort|Feuerverbotsplakat","Karte")</f>
        <v>Karte</v>
      </c>
    </row>
    <row r="162" spans="1:11" x14ac:dyDescent="0.2">
      <c r="A162" s="1" t="s">
        <v>422</v>
      </c>
      <c r="B162" s="1" t="s">
        <v>512</v>
      </c>
      <c r="C162" s="1" t="s">
        <v>886</v>
      </c>
      <c r="D162" s="2">
        <v>1161</v>
      </c>
      <c r="E162" s="1" t="s">
        <v>890</v>
      </c>
      <c r="F162" s="4">
        <v>2720695</v>
      </c>
      <c r="G162" s="4">
        <v>1258982</v>
      </c>
      <c r="H162" s="2">
        <v>0</v>
      </c>
      <c r="I162" s="5">
        <v>0</v>
      </c>
      <c r="J162" s="5">
        <v>1</v>
      </c>
      <c r="K162" s="11" t="str">
        <f>HYPERLINK("https://www.geoportal.ch/ktsg/map/34?y=2720695&amp;x=1258982&amp;scale=2500&amp;topic=coord&amp;highlight=1&amp;label=Standort|Feuerverbotsplakat","Karte")</f>
        <v>Karte</v>
      </c>
    </row>
    <row r="163" spans="1:11" x14ac:dyDescent="0.2">
      <c r="A163" s="1" t="s">
        <v>422</v>
      </c>
      <c r="B163" s="1" t="s">
        <v>512</v>
      </c>
      <c r="C163" s="1" t="s">
        <v>886</v>
      </c>
      <c r="D163" s="2">
        <v>1162</v>
      </c>
      <c r="E163" s="1" t="s">
        <v>891</v>
      </c>
      <c r="F163" s="4">
        <v>2720396</v>
      </c>
      <c r="G163" s="4">
        <v>1258352</v>
      </c>
      <c r="H163" s="2">
        <v>0</v>
      </c>
      <c r="I163" s="5">
        <v>0</v>
      </c>
      <c r="J163" s="5">
        <v>1</v>
      </c>
      <c r="K163" s="11" t="str">
        <f>HYPERLINK("https://www.geoportal.ch/ktsg/map/34?y=2720396&amp;x=1258352&amp;scale=2500&amp;topic=coord&amp;highlight=1&amp;label=Standort|Feuerverbotsplakat","Karte")</f>
        <v>Karte</v>
      </c>
    </row>
    <row r="164" spans="1:11" x14ac:dyDescent="0.2">
      <c r="A164" s="1" t="s">
        <v>422</v>
      </c>
      <c r="B164" s="1" t="s">
        <v>52</v>
      </c>
      <c r="C164" s="1" t="s">
        <v>480</v>
      </c>
      <c r="D164" s="2">
        <v>1163</v>
      </c>
      <c r="E164" s="1" t="s">
        <v>793</v>
      </c>
      <c r="F164" s="4">
        <v>2744358</v>
      </c>
      <c r="G164" s="4">
        <v>1259741</v>
      </c>
      <c r="H164" s="2">
        <v>0</v>
      </c>
      <c r="I164" s="5">
        <v>1</v>
      </c>
      <c r="J164" s="5">
        <v>0</v>
      </c>
      <c r="K164" s="11" t="str">
        <f>HYPERLINK("https://www.geoportal.ch/ktsg/map/34?y=2744358&amp;x=1259741&amp;scale=2500&amp;topic=coord&amp;highlight=1&amp;label=Standort|Feuerverbotsplakat","Karte")</f>
        <v>Karte</v>
      </c>
    </row>
    <row r="165" spans="1:11" x14ac:dyDescent="0.2">
      <c r="A165" s="1" t="s">
        <v>422</v>
      </c>
      <c r="B165" s="1" t="s">
        <v>52</v>
      </c>
      <c r="C165" s="1" t="s">
        <v>480</v>
      </c>
      <c r="D165" s="2">
        <v>1164</v>
      </c>
      <c r="E165" s="1" t="s">
        <v>485</v>
      </c>
      <c r="F165" s="4">
        <v>2745975</v>
      </c>
      <c r="G165" s="4">
        <v>1258224</v>
      </c>
      <c r="H165" s="2">
        <v>0</v>
      </c>
      <c r="I165" s="5">
        <v>1</v>
      </c>
      <c r="J165" s="5">
        <v>0</v>
      </c>
      <c r="K165" s="11" t="str">
        <f>HYPERLINK("https://www.geoportal.ch/ktsg/map/34?y=2745975&amp;x=1258224&amp;scale=2500&amp;topic=coord&amp;highlight=1&amp;label=Standort|Feuerverbotsplakat","Karte")</f>
        <v>Karte</v>
      </c>
    </row>
    <row r="166" spans="1:11" x14ac:dyDescent="0.2">
      <c r="A166" s="1" t="s">
        <v>422</v>
      </c>
      <c r="B166" s="1" t="s">
        <v>52</v>
      </c>
      <c r="C166" s="1" t="s">
        <v>480</v>
      </c>
      <c r="D166" s="2">
        <v>1165</v>
      </c>
      <c r="E166" s="1" t="s">
        <v>486</v>
      </c>
      <c r="F166" s="4">
        <v>2746390</v>
      </c>
      <c r="G166" s="4">
        <v>1257812</v>
      </c>
      <c r="H166" s="2">
        <v>0</v>
      </c>
      <c r="I166" s="5">
        <v>1</v>
      </c>
      <c r="J166" s="5">
        <v>0</v>
      </c>
      <c r="K166" s="11" t="str">
        <f>HYPERLINK("https://www.geoportal.ch/ktsg/map/34?y=2746390&amp;x=1257812&amp;scale=2500&amp;topic=coord&amp;highlight=1&amp;label=Standort|Feuerverbotsplakat","Karte")</f>
        <v>Karte</v>
      </c>
    </row>
    <row r="167" spans="1:11" x14ac:dyDescent="0.2">
      <c r="A167" s="1" t="s">
        <v>422</v>
      </c>
      <c r="B167" s="1" t="s">
        <v>52</v>
      </c>
      <c r="C167" s="1" t="s">
        <v>480</v>
      </c>
      <c r="D167" s="2">
        <v>1166</v>
      </c>
      <c r="E167" s="1" t="s">
        <v>578</v>
      </c>
      <c r="F167" s="4">
        <v>2745267</v>
      </c>
      <c r="G167" s="4">
        <v>1258003</v>
      </c>
      <c r="H167" s="2">
        <v>0</v>
      </c>
      <c r="I167" s="5">
        <v>0</v>
      </c>
      <c r="J167" s="5">
        <v>0</v>
      </c>
      <c r="K167" s="11" t="str">
        <f>HYPERLINK("https://www.geoportal.ch/ktsg/map/34?y=2745267&amp;x=1258003&amp;scale=2500&amp;topic=coord&amp;highlight=1&amp;label=Standort|Feuerverbotsplakat","Karte")</f>
        <v>Karte</v>
      </c>
    </row>
    <row r="168" spans="1:11" x14ac:dyDescent="0.2">
      <c r="A168" s="1" t="s">
        <v>422</v>
      </c>
      <c r="B168" s="1" t="s">
        <v>52</v>
      </c>
      <c r="C168" s="1" t="s">
        <v>49</v>
      </c>
      <c r="D168" s="2">
        <v>1167</v>
      </c>
      <c r="E168" s="1" t="s">
        <v>794</v>
      </c>
      <c r="F168" s="4">
        <v>2747388</v>
      </c>
      <c r="G168" s="4">
        <v>1257888</v>
      </c>
      <c r="H168" s="2">
        <v>0</v>
      </c>
      <c r="I168" s="5">
        <v>1</v>
      </c>
      <c r="J168" s="5">
        <v>0</v>
      </c>
      <c r="K168" s="11" t="str">
        <f>HYPERLINK("https://www.geoportal.ch/ktsg/map/34?y=2747388&amp;x=1257888&amp;scale=2500&amp;topic=coord&amp;highlight=1&amp;label=Standort|Feuerverbotsplakat","Karte")</f>
        <v>Karte</v>
      </c>
    </row>
    <row r="169" spans="1:11" x14ac:dyDescent="0.2">
      <c r="A169" s="1" t="s">
        <v>422</v>
      </c>
      <c r="B169" s="1" t="s">
        <v>46</v>
      </c>
      <c r="C169" s="1" t="s">
        <v>45</v>
      </c>
      <c r="D169" s="2">
        <v>1168</v>
      </c>
      <c r="E169" s="1" t="s">
        <v>246</v>
      </c>
      <c r="F169" s="4">
        <v>2724390</v>
      </c>
      <c r="G169" s="4">
        <v>1257967</v>
      </c>
      <c r="H169" s="2">
        <v>0</v>
      </c>
      <c r="I169" s="5">
        <v>1</v>
      </c>
      <c r="J169" s="5">
        <v>0</v>
      </c>
      <c r="K169" s="11" t="str">
        <f>HYPERLINK("https://www.geoportal.ch/ktsg/map/34?y=2724390&amp;x=1257967&amp;scale=2500&amp;topic=coord&amp;highlight=1&amp;label=Standort|Feuerverbotsplakat","Karte")</f>
        <v>Karte</v>
      </c>
    </row>
    <row r="170" spans="1:11" x14ac:dyDescent="0.2">
      <c r="A170" s="1" t="s">
        <v>422</v>
      </c>
      <c r="B170" s="1" t="s">
        <v>46</v>
      </c>
      <c r="C170" s="1" t="s">
        <v>45</v>
      </c>
      <c r="D170" s="2">
        <v>1169</v>
      </c>
      <c r="E170" s="1" t="s">
        <v>244</v>
      </c>
      <c r="F170" s="4">
        <v>2726131</v>
      </c>
      <c r="G170" s="4">
        <v>1260099</v>
      </c>
      <c r="H170" s="2">
        <v>0</v>
      </c>
      <c r="I170" s="5">
        <v>1</v>
      </c>
      <c r="J170" s="5">
        <v>0</v>
      </c>
      <c r="K170" s="11" t="str">
        <f>HYPERLINK("https://www.geoportal.ch/ktsg/map/34?y=2726131&amp;x=1260099&amp;scale=2500&amp;topic=coord&amp;highlight=1&amp;label=Standort|Feuerverbotsplakat","Karte")</f>
        <v>Karte</v>
      </c>
    </row>
    <row r="171" spans="1:11" x14ac:dyDescent="0.2">
      <c r="A171" s="6" t="s">
        <v>422</v>
      </c>
      <c r="B171" s="6" t="s">
        <v>25</v>
      </c>
      <c r="C171" s="6" t="s">
        <v>26</v>
      </c>
      <c r="D171" s="2">
        <v>1170</v>
      </c>
      <c r="E171" s="1" t="s">
        <v>920</v>
      </c>
      <c r="F171" s="4">
        <v>2719993</v>
      </c>
      <c r="G171" s="4">
        <v>1254104</v>
      </c>
      <c r="H171" s="2">
        <v>0</v>
      </c>
      <c r="I171" s="5">
        <v>1</v>
      </c>
      <c r="J171" s="5">
        <v>0</v>
      </c>
      <c r="K171" s="11" t="str">
        <f>HYPERLINK("https://www.geoportal.ch/ktsg/map/34?y=2719993&amp;x=1254104&amp;scale=2500&amp;topic=coord&amp;highlight=1&amp;label=Standort|Feuerverbotsplakat","Karte")</f>
        <v>Karte</v>
      </c>
    </row>
    <row r="172" spans="1:11" x14ac:dyDescent="0.2">
      <c r="A172" s="1" t="s">
        <v>422</v>
      </c>
      <c r="B172" s="1" t="s">
        <v>25</v>
      </c>
      <c r="C172" s="1" t="s">
        <v>26</v>
      </c>
      <c r="D172" s="2">
        <v>1171</v>
      </c>
      <c r="E172" s="1" t="s">
        <v>923</v>
      </c>
      <c r="F172" s="4">
        <v>2720364</v>
      </c>
      <c r="G172" s="4">
        <v>1252142</v>
      </c>
      <c r="H172" s="2">
        <v>0</v>
      </c>
      <c r="I172" s="5">
        <v>1</v>
      </c>
      <c r="J172" s="5">
        <v>0</v>
      </c>
      <c r="K172" s="11" t="str">
        <f>HYPERLINK("https://www.geoportal.ch/ktsg/map/34?y=2720364&amp;x=1252142&amp;scale=2500&amp;topic=coord&amp;highlight=1&amp;label=Standort|Feuerverbotsplakat","Karte")</f>
        <v>Karte</v>
      </c>
    </row>
    <row r="173" spans="1:11" x14ac:dyDescent="0.2">
      <c r="A173" s="1" t="s">
        <v>425</v>
      </c>
      <c r="B173" s="1" t="s">
        <v>102</v>
      </c>
      <c r="C173" s="1" t="s">
        <v>83</v>
      </c>
      <c r="D173" s="2">
        <v>2001</v>
      </c>
      <c r="E173" s="1" t="s">
        <v>356</v>
      </c>
      <c r="F173" s="4">
        <v>2756775</v>
      </c>
      <c r="G173" s="4">
        <v>1239200</v>
      </c>
      <c r="H173" s="2">
        <v>0</v>
      </c>
      <c r="I173" s="5">
        <v>0</v>
      </c>
      <c r="J173" s="5">
        <v>1</v>
      </c>
      <c r="K173" s="11" t="str">
        <f>HYPERLINK("https://www.geoportal.ch/ktsg/map/34?y=2756775&amp;x=1239200&amp;scale=2500&amp;topic=coord&amp;highlight=1&amp;label=Standort|Feuerverbotsplakat","Karte")</f>
        <v>Karte</v>
      </c>
    </row>
    <row r="174" spans="1:11" x14ac:dyDescent="0.2">
      <c r="A174" s="1" t="s">
        <v>425</v>
      </c>
      <c r="B174" s="1" t="s">
        <v>102</v>
      </c>
      <c r="C174" s="1" t="s">
        <v>83</v>
      </c>
      <c r="D174" s="2">
        <v>2002</v>
      </c>
      <c r="E174" s="1" t="s">
        <v>355</v>
      </c>
      <c r="F174" s="4">
        <v>2757000</v>
      </c>
      <c r="G174" s="4">
        <v>1239050</v>
      </c>
      <c r="H174" s="2">
        <v>0</v>
      </c>
      <c r="I174" s="5">
        <v>0</v>
      </c>
      <c r="J174" s="5">
        <v>1</v>
      </c>
      <c r="K174" s="11" t="str">
        <f>HYPERLINK("https://www.geoportal.ch/ktsg/map/34?y=2757000&amp;x=1239050&amp;scale=2500&amp;topic=coord&amp;highlight=1&amp;label=Standort|Feuerverbotsplakat","Karte")</f>
        <v>Karte</v>
      </c>
    </row>
    <row r="175" spans="1:11" x14ac:dyDescent="0.2">
      <c r="A175" s="1" t="s">
        <v>425</v>
      </c>
      <c r="B175" s="1" t="s">
        <v>102</v>
      </c>
      <c r="C175" s="1" t="s">
        <v>9</v>
      </c>
      <c r="D175" s="2">
        <v>2003</v>
      </c>
      <c r="E175" s="1" t="s">
        <v>357</v>
      </c>
      <c r="F175" s="4">
        <v>2757000</v>
      </c>
      <c r="G175" s="4">
        <v>1239050</v>
      </c>
      <c r="H175" s="2">
        <v>0</v>
      </c>
      <c r="I175" s="5">
        <v>1</v>
      </c>
      <c r="J175" s="5">
        <v>0</v>
      </c>
      <c r="K175" s="11" t="str">
        <f>HYPERLINK("https://www.geoportal.ch/ktsg/map/34?y=2757000&amp;x=1239050&amp;scale=2500&amp;topic=coord&amp;highlight=1&amp;label=Standort|Feuerverbotsplakat","Karte")</f>
        <v>Karte</v>
      </c>
    </row>
    <row r="176" spans="1:11" x14ac:dyDescent="0.2">
      <c r="A176" s="1" t="s">
        <v>425</v>
      </c>
      <c r="B176" s="1" t="s">
        <v>102</v>
      </c>
      <c r="C176" s="1" t="s">
        <v>9</v>
      </c>
      <c r="D176" s="2">
        <v>2004</v>
      </c>
      <c r="E176" s="1" t="s">
        <v>795</v>
      </c>
      <c r="F176" s="4">
        <v>2756360</v>
      </c>
      <c r="G176" s="4">
        <v>1249320</v>
      </c>
      <c r="H176" s="2">
        <v>0</v>
      </c>
      <c r="I176" s="5">
        <v>1</v>
      </c>
      <c r="J176" s="5">
        <v>0</v>
      </c>
      <c r="K176" s="11" t="str">
        <f>HYPERLINK("https://www.geoportal.ch/ktsg/map/34?y=2756360&amp;x=1249320&amp;scale=2500&amp;topic=coord&amp;highlight=1&amp;label=Standort|Feuerverbotsplakat","Karte")</f>
        <v>Karte</v>
      </c>
    </row>
    <row r="177" spans="1:11" x14ac:dyDescent="0.2">
      <c r="A177" s="1" t="s">
        <v>425</v>
      </c>
      <c r="B177" s="1" t="s">
        <v>102</v>
      </c>
      <c r="C177" s="1" t="s">
        <v>9</v>
      </c>
      <c r="D177" s="2">
        <v>2005</v>
      </c>
      <c r="E177" s="1" t="s">
        <v>617</v>
      </c>
      <c r="F177" s="4">
        <v>2756420</v>
      </c>
      <c r="G177" s="4">
        <v>1249140</v>
      </c>
      <c r="H177" s="2">
        <v>0</v>
      </c>
      <c r="I177" s="5">
        <v>1</v>
      </c>
      <c r="J177" s="5">
        <v>0</v>
      </c>
      <c r="K177" s="11" t="str">
        <f>HYPERLINK("https://www.geoportal.ch/ktsg/map/34?y=2756420&amp;x=1249140&amp;scale=2500&amp;topic=coord&amp;highlight=1&amp;label=Standort|Feuerverbotsplakat","Karte")</f>
        <v>Karte</v>
      </c>
    </row>
    <row r="178" spans="1:11" x14ac:dyDescent="0.2">
      <c r="A178" s="1" t="s">
        <v>425</v>
      </c>
      <c r="B178" s="1" t="s">
        <v>102</v>
      </c>
      <c r="C178" s="1" t="s">
        <v>9</v>
      </c>
      <c r="D178" s="2">
        <v>2006</v>
      </c>
      <c r="E178" s="1" t="s">
        <v>349</v>
      </c>
      <c r="F178" s="4">
        <v>2757845</v>
      </c>
      <c r="G178" s="4">
        <v>1248800</v>
      </c>
      <c r="H178" s="2">
        <v>0</v>
      </c>
      <c r="I178" s="5">
        <v>1</v>
      </c>
      <c r="J178" s="5">
        <v>0</v>
      </c>
      <c r="K178" s="11" t="str">
        <f>HYPERLINK("https://www.geoportal.ch/ktsg/map/34?y=2757845&amp;x=1248800&amp;scale=2500&amp;topic=coord&amp;highlight=1&amp;label=Standort|Feuerverbotsplakat","Karte")</f>
        <v>Karte</v>
      </c>
    </row>
    <row r="179" spans="1:11" x14ac:dyDescent="0.2">
      <c r="A179" s="1" t="s">
        <v>425</v>
      </c>
      <c r="B179" s="1" t="s">
        <v>102</v>
      </c>
      <c r="C179" s="1" t="s">
        <v>9</v>
      </c>
      <c r="D179" s="2">
        <v>2007</v>
      </c>
      <c r="E179" s="1" t="s">
        <v>618</v>
      </c>
      <c r="F179" s="4">
        <v>2758960</v>
      </c>
      <c r="G179" s="4">
        <v>1250600</v>
      </c>
      <c r="H179" s="2">
        <v>0</v>
      </c>
      <c r="I179" s="5">
        <v>1</v>
      </c>
      <c r="J179" s="5">
        <v>0</v>
      </c>
      <c r="K179" s="11" t="str">
        <f>HYPERLINK("https://www.geoportal.ch/ktsg/map/34?y=2758960&amp;x=1250600&amp;scale=2500&amp;topic=coord&amp;highlight=1&amp;label=Standort|Feuerverbotsplakat","Karte")</f>
        <v>Karte</v>
      </c>
    </row>
    <row r="180" spans="1:11" x14ac:dyDescent="0.2">
      <c r="A180" s="1" t="s">
        <v>425</v>
      </c>
      <c r="B180" s="1" t="s">
        <v>102</v>
      </c>
      <c r="C180" s="1" t="s">
        <v>9</v>
      </c>
      <c r="D180" s="2">
        <v>2008</v>
      </c>
      <c r="E180" s="1" t="s">
        <v>619</v>
      </c>
      <c r="F180" s="4">
        <v>2756300</v>
      </c>
      <c r="G180" s="4">
        <v>1249600</v>
      </c>
      <c r="H180" s="2">
        <v>0</v>
      </c>
      <c r="I180" s="5">
        <v>1</v>
      </c>
      <c r="J180" s="5">
        <v>0</v>
      </c>
      <c r="K180" s="11" t="str">
        <f>HYPERLINK("https://www.geoportal.ch/ktsg/map/34?y=2756300&amp;x=1249600&amp;scale=2500&amp;topic=coord&amp;highlight=1&amp;label=Standort|Feuerverbotsplakat","Karte")</f>
        <v>Karte</v>
      </c>
    </row>
    <row r="181" spans="1:11" x14ac:dyDescent="0.2">
      <c r="A181" s="1" t="s">
        <v>425</v>
      </c>
      <c r="B181" s="1" t="s">
        <v>96</v>
      </c>
      <c r="C181" s="1" t="s">
        <v>9</v>
      </c>
      <c r="D181" s="2">
        <v>2009</v>
      </c>
      <c r="E181" s="1" t="s">
        <v>311</v>
      </c>
      <c r="F181" s="4">
        <v>2765275</v>
      </c>
      <c r="G181" s="4">
        <v>1256460</v>
      </c>
      <c r="H181" s="2">
        <v>0</v>
      </c>
      <c r="I181" s="5">
        <v>1</v>
      </c>
      <c r="J181" s="5">
        <v>0</v>
      </c>
      <c r="K181" s="11" t="str">
        <f>HYPERLINK("https://www.geoportal.ch/ktsg/map/34?y=2765275&amp;x=1256460&amp;scale=2500&amp;topic=coord&amp;highlight=1&amp;label=Standort|Feuerverbotsplakat","Karte")</f>
        <v>Karte</v>
      </c>
    </row>
    <row r="182" spans="1:11" x14ac:dyDescent="0.2">
      <c r="A182" s="1" t="s">
        <v>425</v>
      </c>
      <c r="B182" s="1" t="s">
        <v>96</v>
      </c>
      <c r="C182" s="1" t="s">
        <v>9</v>
      </c>
      <c r="D182" s="2">
        <v>2010</v>
      </c>
      <c r="E182" s="1" t="s">
        <v>310</v>
      </c>
      <c r="F182" s="4">
        <v>2765375</v>
      </c>
      <c r="G182" s="4">
        <v>1256600</v>
      </c>
      <c r="H182" s="2">
        <v>0</v>
      </c>
      <c r="I182" s="5">
        <v>1</v>
      </c>
      <c r="J182" s="5">
        <v>0</v>
      </c>
      <c r="K182" s="11" t="str">
        <f>HYPERLINK("https://www.geoportal.ch/ktsg/map/34?y=2765375&amp;x=1256600&amp;scale=2500&amp;topic=coord&amp;highlight=1&amp;label=Standort|Feuerverbotsplakat","Karte")</f>
        <v>Karte</v>
      </c>
    </row>
    <row r="183" spans="1:11" x14ac:dyDescent="0.2">
      <c r="A183" s="1" t="s">
        <v>425</v>
      </c>
      <c r="B183" s="1" t="s">
        <v>96</v>
      </c>
      <c r="C183" s="1" t="s">
        <v>9</v>
      </c>
      <c r="D183" s="2">
        <v>2011</v>
      </c>
      <c r="E183" s="1" t="s">
        <v>309</v>
      </c>
      <c r="F183" s="4">
        <v>2765580</v>
      </c>
      <c r="G183" s="4">
        <v>1256750</v>
      </c>
      <c r="H183" s="2">
        <v>0</v>
      </c>
      <c r="I183" s="5">
        <v>1</v>
      </c>
      <c r="J183" s="5">
        <v>0</v>
      </c>
      <c r="K183" s="11" t="str">
        <f>HYPERLINK("https://www.geoportal.ch/ktsg/map/34?y=2765580&amp;x=1256750&amp;scale=2500&amp;topic=coord&amp;highlight=1&amp;label=Standort|Feuerverbotsplakat","Karte")</f>
        <v>Karte</v>
      </c>
    </row>
    <row r="184" spans="1:11" x14ac:dyDescent="0.2">
      <c r="A184" s="1" t="s">
        <v>425</v>
      </c>
      <c r="B184" s="1" t="s">
        <v>99</v>
      </c>
      <c r="C184" s="1" t="s">
        <v>9</v>
      </c>
      <c r="D184" s="2">
        <v>2012</v>
      </c>
      <c r="E184" s="1" t="s">
        <v>620</v>
      </c>
      <c r="F184" s="4">
        <v>2764471</v>
      </c>
      <c r="G184" s="4">
        <v>1252423</v>
      </c>
      <c r="H184" s="2">
        <v>0</v>
      </c>
      <c r="I184" s="5">
        <v>1</v>
      </c>
      <c r="J184" s="5">
        <v>0</v>
      </c>
      <c r="K184" s="11" t="str">
        <f>HYPERLINK("https://www.geoportal.ch/ktsg/map/34?y=2764471&amp;x=1252423&amp;scale=2500&amp;topic=coord&amp;highlight=1&amp;label=Standort|Feuerverbotsplakat","Karte")</f>
        <v>Karte</v>
      </c>
    </row>
    <row r="185" spans="1:11" x14ac:dyDescent="0.2">
      <c r="A185" s="1" t="s">
        <v>425</v>
      </c>
      <c r="B185" s="1" t="s">
        <v>99</v>
      </c>
      <c r="C185" s="1" t="s">
        <v>9</v>
      </c>
      <c r="D185" s="2">
        <v>2013</v>
      </c>
      <c r="E185" s="1" t="s">
        <v>621</v>
      </c>
      <c r="F185" s="4">
        <v>2764440</v>
      </c>
      <c r="G185" s="4">
        <v>1252560</v>
      </c>
      <c r="H185" s="2">
        <v>0</v>
      </c>
      <c r="I185" s="5">
        <v>1</v>
      </c>
      <c r="J185" s="5">
        <v>0</v>
      </c>
      <c r="K185" s="11" t="str">
        <f>HYPERLINK("https://www.geoportal.ch/ktsg/map/34?y=2764440&amp;x=1252560&amp;scale=2500&amp;topic=coord&amp;highlight=1&amp;label=Standort|Feuerverbotsplakat","Karte")</f>
        <v>Karte</v>
      </c>
    </row>
    <row r="186" spans="1:11" x14ac:dyDescent="0.2">
      <c r="A186" s="1" t="s">
        <v>425</v>
      </c>
      <c r="B186" s="1" t="s">
        <v>99</v>
      </c>
      <c r="C186" s="1" t="s">
        <v>9</v>
      </c>
      <c r="D186" s="2">
        <v>2014</v>
      </c>
      <c r="E186" s="1" t="s">
        <v>622</v>
      </c>
      <c r="F186" s="4">
        <v>2764616</v>
      </c>
      <c r="G186" s="4">
        <v>1252723</v>
      </c>
      <c r="H186" s="2">
        <v>0</v>
      </c>
      <c r="I186" s="5">
        <v>1</v>
      </c>
      <c r="J186" s="5">
        <v>0</v>
      </c>
      <c r="K186" s="11" t="str">
        <f>HYPERLINK("https://www.geoportal.ch/ktsg/map/34?y=2764616&amp;x=1252723&amp;scale=2500&amp;topic=coord&amp;highlight=1&amp;label=Standort|Feuerverbotsplakat","Karte")</f>
        <v>Karte</v>
      </c>
    </row>
    <row r="187" spans="1:11" x14ac:dyDescent="0.2">
      <c r="A187" s="1" t="s">
        <v>425</v>
      </c>
      <c r="B187" s="1" t="s">
        <v>99</v>
      </c>
      <c r="C187" s="1" t="s">
        <v>9</v>
      </c>
      <c r="D187" s="2">
        <v>2015</v>
      </c>
      <c r="E187" s="1" t="s">
        <v>336</v>
      </c>
      <c r="F187" s="4">
        <v>2764842</v>
      </c>
      <c r="G187" s="4">
        <v>1253117</v>
      </c>
      <c r="H187" s="2">
        <v>0</v>
      </c>
      <c r="I187" s="5">
        <v>1</v>
      </c>
      <c r="J187" s="5">
        <v>0</v>
      </c>
      <c r="K187" s="11" t="str">
        <f>HYPERLINK("https://www.geoportal.ch/ktsg/map/34?y=2764842&amp;x=1253117&amp;scale=2500&amp;topic=coord&amp;highlight=1&amp;label=Standort|Feuerverbotsplakat","Karte")</f>
        <v>Karte</v>
      </c>
    </row>
    <row r="188" spans="1:11" x14ac:dyDescent="0.2">
      <c r="A188" s="1" t="s">
        <v>425</v>
      </c>
      <c r="B188" s="1" t="s">
        <v>99</v>
      </c>
      <c r="C188" s="1" t="s">
        <v>9</v>
      </c>
      <c r="D188" s="2">
        <v>2016</v>
      </c>
      <c r="E188" s="1" t="s">
        <v>335</v>
      </c>
      <c r="F188" s="4">
        <v>2764580</v>
      </c>
      <c r="G188" s="4">
        <v>1253281</v>
      </c>
      <c r="H188" s="2">
        <v>0</v>
      </c>
      <c r="I188" s="5">
        <v>1</v>
      </c>
      <c r="J188" s="5">
        <v>0</v>
      </c>
      <c r="K188" s="11" t="str">
        <f>HYPERLINK("https://www.geoportal.ch/ktsg/map/34?y=2764580&amp;x=1253281&amp;scale=2500&amp;topic=coord&amp;highlight=1&amp;label=Standort|Feuerverbotsplakat","Karte")</f>
        <v>Karte</v>
      </c>
    </row>
    <row r="189" spans="1:11" x14ac:dyDescent="0.2">
      <c r="A189" s="1" t="s">
        <v>425</v>
      </c>
      <c r="B189" s="1" t="s">
        <v>99</v>
      </c>
      <c r="C189" s="1" t="s">
        <v>9</v>
      </c>
      <c r="D189" s="2">
        <v>2017</v>
      </c>
      <c r="E189" s="1" t="s">
        <v>334</v>
      </c>
      <c r="F189" s="4">
        <v>2764750</v>
      </c>
      <c r="G189" s="4">
        <v>1253464</v>
      </c>
      <c r="H189" s="2">
        <v>0</v>
      </c>
      <c r="I189" s="5">
        <v>1</v>
      </c>
      <c r="J189" s="5">
        <v>0</v>
      </c>
      <c r="K189" s="11" t="str">
        <f>HYPERLINK("https://www.geoportal.ch/ktsg/map/34?y=2764750&amp;x=1253464&amp;scale=2500&amp;topic=coord&amp;highlight=1&amp;label=Standort|Feuerverbotsplakat","Karte")</f>
        <v>Karte</v>
      </c>
    </row>
    <row r="190" spans="1:11" x14ac:dyDescent="0.2">
      <c r="A190" s="1" t="s">
        <v>425</v>
      </c>
      <c r="B190" s="1" t="s">
        <v>99</v>
      </c>
      <c r="C190" s="1" t="s">
        <v>9</v>
      </c>
      <c r="D190" s="2">
        <v>2018</v>
      </c>
      <c r="E190" s="1" t="s">
        <v>333</v>
      </c>
      <c r="F190" s="4">
        <v>2764755</v>
      </c>
      <c r="G190" s="4">
        <v>1253603</v>
      </c>
      <c r="H190" s="2">
        <v>0</v>
      </c>
      <c r="I190" s="5">
        <v>1</v>
      </c>
      <c r="J190" s="5">
        <v>0</v>
      </c>
      <c r="K190" s="11" t="str">
        <f>HYPERLINK("https://www.geoportal.ch/ktsg/map/34?y=2764755&amp;x=1253603&amp;scale=2500&amp;topic=coord&amp;highlight=1&amp;label=Standort|Feuerverbotsplakat","Karte")</f>
        <v>Karte</v>
      </c>
    </row>
    <row r="191" spans="1:11" x14ac:dyDescent="0.2">
      <c r="A191" s="1" t="s">
        <v>425</v>
      </c>
      <c r="B191" s="1" t="s">
        <v>99</v>
      </c>
      <c r="C191" s="1" t="s">
        <v>9</v>
      </c>
      <c r="D191" s="2">
        <v>2019</v>
      </c>
      <c r="E191" s="1" t="s">
        <v>579</v>
      </c>
      <c r="F191" s="4">
        <v>2764694</v>
      </c>
      <c r="G191" s="4">
        <v>1253720</v>
      </c>
      <c r="H191" s="2">
        <v>0</v>
      </c>
      <c r="I191" s="5">
        <v>1</v>
      </c>
      <c r="J191" s="5">
        <v>0</v>
      </c>
      <c r="K191" s="11" t="str">
        <f>HYPERLINK("https://www.geoportal.ch/ktsg/map/34?y=2764694&amp;x=1253720&amp;scale=2500&amp;topic=coord&amp;highlight=1&amp;label=Standort|Feuerverbotsplakat","Karte")</f>
        <v>Karte</v>
      </c>
    </row>
    <row r="192" spans="1:11" x14ac:dyDescent="0.2">
      <c r="A192" s="1" t="s">
        <v>425</v>
      </c>
      <c r="B192" s="1" t="s">
        <v>99</v>
      </c>
      <c r="C192" s="1" t="s">
        <v>9</v>
      </c>
      <c r="D192" s="2">
        <v>2020</v>
      </c>
      <c r="E192" s="1" t="s">
        <v>332</v>
      </c>
      <c r="F192" s="4">
        <v>2764574</v>
      </c>
      <c r="G192" s="4">
        <v>1253540</v>
      </c>
      <c r="H192" s="2">
        <v>0</v>
      </c>
      <c r="I192" s="5">
        <v>1</v>
      </c>
      <c r="J192" s="5">
        <v>0</v>
      </c>
      <c r="K192" s="11" t="str">
        <f>HYPERLINK("https://www.geoportal.ch/ktsg/map/34?y=2764574&amp;x=1253540&amp;scale=2500&amp;topic=coord&amp;highlight=1&amp;label=Standort|Feuerverbotsplakat","Karte")</f>
        <v>Karte</v>
      </c>
    </row>
    <row r="193" spans="1:11" x14ac:dyDescent="0.2">
      <c r="A193" s="1" t="s">
        <v>425</v>
      </c>
      <c r="B193" s="1" t="s">
        <v>99</v>
      </c>
      <c r="C193" s="1" t="s">
        <v>9</v>
      </c>
      <c r="D193" s="2">
        <v>2021</v>
      </c>
      <c r="E193" s="1" t="s">
        <v>331</v>
      </c>
      <c r="F193" s="4">
        <v>2764547</v>
      </c>
      <c r="G193" s="4">
        <v>1253560</v>
      </c>
      <c r="H193" s="2">
        <v>0</v>
      </c>
      <c r="I193" s="5">
        <v>1</v>
      </c>
      <c r="J193" s="5">
        <v>0</v>
      </c>
      <c r="K193" s="11" t="str">
        <f>HYPERLINK("https://www.geoportal.ch/ktsg/map/34?y=2764547&amp;x=1253560&amp;scale=2500&amp;topic=coord&amp;highlight=1&amp;label=Standort|Feuerverbotsplakat","Karte")</f>
        <v>Karte</v>
      </c>
    </row>
    <row r="194" spans="1:11" x14ac:dyDescent="0.2">
      <c r="A194" s="1" t="s">
        <v>425</v>
      </c>
      <c r="B194" s="1" t="s">
        <v>99</v>
      </c>
      <c r="C194" s="1" t="s">
        <v>9</v>
      </c>
      <c r="D194" s="2">
        <v>2022</v>
      </c>
      <c r="E194" s="1" t="s">
        <v>330</v>
      </c>
      <c r="F194" s="4">
        <v>2763551</v>
      </c>
      <c r="G194" s="4">
        <v>1253254</v>
      </c>
      <c r="H194" s="2">
        <v>0</v>
      </c>
      <c r="I194" s="5">
        <v>1</v>
      </c>
      <c r="J194" s="5">
        <v>0</v>
      </c>
      <c r="K194" s="11" t="str">
        <f>HYPERLINK("https://www.geoportal.ch/ktsg/map/34?y=2763551&amp;x=1253254&amp;scale=2500&amp;topic=coord&amp;highlight=1&amp;label=Standort|Feuerverbotsplakat","Karte")</f>
        <v>Karte</v>
      </c>
    </row>
    <row r="195" spans="1:11" x14ac:dyDescent="0.2">
      <c r="A195" s="1" t="s">
        <v>425</v>
      </c>
      <c r="B195" s="1" t="s">
        <v>99</v>
      </c>
      <c r="C195" s="1" t="s">
        <v>9</v>
      </c>
      <c r="D195" s="2">
        <v>2023</v>
      </c>
      <c r="E195" s="1" t="s">
        <v>329</v>
      </c>
      <c r="F195" s="4">
        <v>2763442</v>
      </c>
      <c r="G195" s="4">
        <v>1253318</v>
      </c>
      <c r="H195" s="2">
        <v>0</v>
      </c>
      <c r="I195" s="5">
        <v>0</v>
      </c>
      <c r="J195" s="5">
        <v>1</v>
      </c>
      <c r="K195" s="11" t="str">
        <f>HYPERLINK("https://www.geoportal.ch/ktsg/map/34?y=2763442&amp;x=1253318&amp;scale=2500&amp;topic=coord&amp;highlight=1&amp;label=Standort|Feuerverbotsplakat","Karte")</f>
        <v>Karte</v>
      </c>
    </row>
    <row r="196" spans="1:11" x14ac:dyDescent="0.2">
      <c r="A196" s="1" t="s">
        <v>425</v>
      </c>
      <c r="B196" s="1" t="s">
        <v>99</v>
      </c>
      <c r="C196" s="1" t="s">
        <v>9</v>
      </c>
      <c r="D196" s="2">
        <v>2024</v>
      </c>
      <c r="E196" s="1" t="s">
        <v>328</v>
      </c>
      <c r="F196" s="4">
        <v>2763433</v>
      </c>
      <c r="G196" s="4">
        <v>1253344</v>
      </c>
      <c r="H196" s="2">
        <v>0</v>
      </c>
      <c r="I196" s="5">
        <v>1</v>
      </c>
      <c r="J196" s="5">
        <v>0</v>
      </c>
      <c r="K196" s="11" t="str">
        <f>HYPERLINK("https://www.geoportal.ch/ktsg/map/34?y=2763433&amp;x=1253344&amp;scale=2500&amp;topic=coord&amp;highlight=1&amp;label=Standort|Feuerverbotsplakat","Karte")</f>
        <v>Karte</v>
      </c>
    </row>
    <row r="197" spans="1:11" x14ac:dyDescent="0.2">
      <c r="A197" s="1" t="s">
        <v>425</v>
      </c>
      <c r="B197" s="1" t="s">
        <v>99</v>
      </c>
      <c r="C197" s="1" t="s">
        <v>9</v>
      </c>
      <c r="D197" s="2">
        <v>2025</v>
      </c>
      <c r="E197" s="1" t="s">
        <v>327</v>
      </c>
      <c r="F197" s="4">
        <v>2763421</v>
      </c>
      <c r="G197" s="4">
        <v>1253347</v>
      </c>
      <c r="H197" s="2">
        <v>0</v>
      </c>
      <c r="I197" s="5">
        <v>1</v>
      </c>
      <c r="J197" s="5">
        <v>0</v>
      </c>
      <c r="K197" s="11" t="str">
        <f>HYPERLINK("https://www.geoportal.ch/ktsg/map/34?y=2763421&amp;x=1253347&amp;scale=2500&amp;topic=coord&amp;highlight=1&amp;label=Standort|Feuerverbotsplakat","Karte")</f>
        <v>Karte</v>
      </c>
    </row>
    <row r="198" spans="1:11" x14ac:dyDescent="0.2">
      <c r="A198" s="1" t="s">
        <v>425</v>
      </c>
      <c r="B198" s="1" t="s">
        <v>99</v>
      </c>
      <c r="C198" s="1" t="s">
        <v>9</v>
      </c>
      <c r="D198" s="2">
        <v>2026</v>
      </c>
      <c r="E198" s="1" t="s">
        <v>326</v>
      </c>
      <c r="F198" s="4">
        <v>2763360</v>
      </c>
      <c r="G198" s="4">
        <v>1253309</v>
      </c>
      <c r="H198" s="2">
        <v>0</v>
      </c>
      <c r="I198" s="5">
        <v>1</v>
      </c>
      <c r="J198" s="5">
        <v>0</v>
      </c>
      <c r="K198" s="11" t="str">
        <f>HYPERLINK("https://www.geoportal.ch/ktsg/map/34?y=2763360&amp;x=1253309&amp;scale=2500&amp;topic=coord&amp;highlight=1&amp;label=Standort|Feuerverbotsplakat","Karte")</f>
        <v>Karte</v>
      </c>
    </row>
    <row r="199" spans="1:11" x14ac:dyDescent="0.2">
      <c r="A199" s="1" t="s">
        <v>425</v>
      </c>
      <c r="B199" s="1" t="s">
        <v>99</v>
      </c>
      <c r="C199" s="1" t="s">
        <v>9</v>
      </c>
      <c r="D199" s="2">
        <v>2027</v>
      </c>
      <c r="E199" s="1" t="s">
        <v>200</v>
      </c>
      <c r="F199" s="4">
        <v>2763625</v>
      </c>
      <c r="G199" s="4">
        <v>1252867</v>
      </c>
      <c r="H199" s="2">
        <v>0</v>
      </c>
      <c r="I199" s="5">
        <v>1</v>
      </c>
      <c r="J199" s="5">
        <v>0</v>
      </c>
      <c r="K199" s="11" t="str">
        <f>HYPERLINK("https://www.geoportal.ch/ktsg/map/34?y=2763625&amp;x=1252867&amp;scale=2500&amp;topic=coord&amp;highlight=1&amp;label=Standort|Feuerverbotsplakat","Karte")</f>
        <v>Karte</v>
      </c>
    </row>
    <row r="200" spans="1:11" x14ac:dyDescent="0.2">
      <c r="A200" s="1" t="s">
        <v>425</v>
      </c>
      <c r="B200" s="1" t="s">
        <v>99</v>
      </c>
      <c r="C200" s="1" t="s">
        <v>9</v>
      </c>
      <c r="D200" s="2">
        <v>2028</v>
      </c>
      <c r="E200" s="1" t="s">
        <v>325</v>
      </c>
      <c r="F200" s="4">
        <v>2763063</v>
      </c>
      <c r="G200" s="4">
        <v>1252559</v>
      </c>
      <c r="H200" s="2">
        <v>0</v>
      </c>
      <c r="I200" s="5">
        <v>1</v>
      </c>
      <c r="J200" s="5">
        <v>0</v>
      </c>
      <c r="K200" s="11" t="str">
        <f>HYPERLINK("https://www.geoportal.ch/ktsg/map/34?y=2763063&amp;x=1252559&amp;scale=2500&amp;topic=coord&amp;highlight=1&amp;label=Standort|Feuerverbotsplakat","Karte")</f>
        <v>Karte</v>
      </c>
    </row>
    <row r="201" spans="1:11" x14ac:dyDescent="0.2">
      <c r="A201" s="1" t="s">
        <v>425</v>
      </c>
      <c r="B201" s="1" t="s">
        <v>99</v>
      </c>
      <c r="C201" s="1" t="s">
        <v>9</v>
      </c>
      <c r="D201" s="2">
        <v>2029</v>
      </c>
      <c r="E201" s="1" t="s">
        <v>324</v>
      </c>
      <c r="F201" s="4">
        <v>2762809</v>
      </c>
      <c r="G201" s="4">
        <v>1252505</v>
      </c>
      <c r="H201" s="2">
        <v>0</v>
      </c>
      <c r="I201" s="5">
        <v>1</v>
      </c>
      <c r="J201" s="5">
        <v>0</v>
      </c>
      <c r="K201" s="11" t="str">
        <f>HYPERLINK("https://www.geoportal.ch/ktsg/map/34?y=2762809&amp;x=1252505&amp;scale=2500&amp;topic=coord&amp;highlight=1&amp;label=Standort|Feuerverbotsplakat","Karte")</f>
        <v>Karte</v>
      </c>
    </row>
    <row r="202" spans="1:11" x14ac:dyDescent="0.2">
      <c r="A202" s="1" t="s">
        <v>425</v>
      </c>
      <c r="B202" s="1" t="s">
        <v>99</v>
      </c>
      <c r="C202" s="1" t="s">
        <v>9</v>
      </c>
      <c r="D202" s="2">
        <v>2030</v>
      </c>
      <c r="E202" s="1" t="s">
        <v>323</v>
      </c>
      <c r="F202" s="4">
        <v>2763010</v>
      </c>
      <c r="G202" s="4">
        <v>1252808</v>
      </c>
      <c r="H202" s="2">
        <v>0</v>
      </c>
      <c r="I202" s="5">
        <v>1</v>
      </c>
      <c r="J202" s="5">
        <v>0</v>
      </c>
      <c r="K202" s="11" t="str">
        <f>HYPERLINK("https://www.geoportal.ch/ktsg/map/34?y=2763010&amp;x=1252808&amp;scale=2500&amp;topic=coord&amp;highlight=1&amp;label=Standort|Feuerverbotsplakat","Karte")</f>
        <v>Karte</v>
      </c>
    </row>
    <row r="203" spans="1:11" x14ac:dyDescent="0.2">
      <c r="A203" s="1" t="s">
        <v>425</v>
      </c>
      <c r="B203" s="1" t="s">
        <v>99</v>
      </c>
      <c r="C203" s="1" t="s">
        <v>9</v>
      </c>
      <c r="D203" s="2">
        <v>2031</v>
      </c>
      <c r="E203" s="1" t="s">
        <v>322</v>
      </c>
      <c r="F203" s="4">
        <v>2762766</v>
      </c>
      <c r="G203" s="4">
        <v>1252826</v>
      </c>
      <c r="H203" s="2">
        <v>0</v>
      </c>
      <c r="I203" s="5">
        <v>1</v>
      </c>
      <c r="J203" s="5">
        <v>0</v>
      </c>
      <c r="K203" s="11" t="str">
        <f>HYPERLINK("https://www.geoportal.ch/ktsg/map/34?y=2762766&amp;x=1252826&amp;scale=2500&amp;topic=coord&amp;highlight=1&amp;label=Standort|Feuerverbotsplakat","Karte")</f>
        <v>Karte</v>
      </c>
    </row>
    <row r="204" spans="1:11" x14ac:dyDescent="0.2">
      <c r="A204" s="1" t="s">
        <v>425</v>
      </c>
      <c r="B204" s="1" t="s">
        <v>99</v>
      </c>
      <c r="C204" s="1" t="s">
        <v>9</v>
      </c>
      <c r="D204" s="2">
        <v>2032</v>
      </c>
      <c r="E204" s="1" t="s">
        <v>321</v>
      </c>
      <c r="F204" s="4">
        <v>2762773</v>
      </c>
      <c r="G204" s="4">
        <v>1253053</v>
      </c>
      <c r="H204" s="2">
        <v>0</v>
      </c>
      <c r="I204" s="5">
        <v>1</v>
      </c>
      <c r="J204" s="5">
        <v>0</v>
      </c>
      <c r="K204" s="11" t="str">
        <f>HYPERLINK("https://www.geoportal.ch/ktsg/map/34?y=2762773&amp;x=1253053&amp;scale=2500&amp;topic=coord&amp;highlight=1&amp;label=Standort|Feuerverbotsplakat","Karte")</f>
        <v>Karte</v>
      </c>
    </row>
    <row r="205" spans="1:11" x14ac:dyDescent="0.2">
      <c r="A205" s="1" t="s">
        <v>425</v>
      </c>
      <c r="B205" s="1" t="s">
        <v>99</v>
      </c>
      <c r="C205" s="1" t="s">
        <v>9</v>
      </c>
      <c r="D205" s="2">
        <v>2033</v>
      </c>
      <c r="E205" s="1" t="s">
        <v>320</v>
      </c>
      <c r="F205" s="4">
        <v>2762959</v>
      </c>
      <c r="G205" s="4">
        <v>1253110</v>
      </c>
      <c r="H205" s="2">
        <v>0</v>
      </c>
      <c r="I205" s="5">
        <v>1</v>
      </c>
      <c r="J205" s="5">
        <v>0</v>
      </c>
      <c r="K205" s="11" t="str">
        <f>HYPERLINK("https://www.geoportal.ch/ktsg/map/34?y=2762959&amp;x=1253110&amp;scale=2500&amp;topic=coord&amp;highlight=1&amp;label=Standort|Feuerverbotsplakat","Karte")</f>
        <v>Karte</v>
      </c>
    </row>
    <row r="206" spans="1:11" x14ac:dyDescent="0.2">
      <c r="A206" s="1" t="s">
        <v>425</v>
      </c>
      <c r="B206" s="1" t="s">
        <v>97</v>
      </c>
      <c r="C206" s="1" t="s">
        <v>9</v>
      </c>
      <c r="D206" s="2">
        <v>2034</v>
      </c>
      <c r="E206" s="1" t="s">
        <v>316</v>
      </c>
      <c r="F206" s="4">
        <v>2764497</v>
      </c>
      <c r="G206" s="4">
        <v>1256174</v>
      </c>
      <c r="H206" s="2">
        <v>0</v>
      </c>
      <c r="I206" s="5">
        <v>1</v>
      </c>
      <c r="J206" s="5">
        <v>0</v>
      </c>
      <c r="K206" s="11" t="str">
        <f>HYPERLINK("https://www.geoportal.ch/ktsg/map/34?y=2764497&amp;x=1256174&amp;scale=2500&amp;topic=coord&amp;highlight=1&amp;label=Standort|Feuerverbotsplakat","Karte")</f>
        <v>Karte</v>
      </c>
    </row>
    <row r="207" spans="1:11" x14ac:dyDescent="0.2">
      <c r="A207" s="1" t="s">
        <v>425</v>
      </c>
      <c r="B207" s="1" t="s">
        <v>97</v>
      </c>
      <c r="C207" s="1" t="s">
        <v>9</v>
      </c>
      <c r="D207" s="2">
        <v>2035</v>
      </c>
      <c r="E207" s="1" t="s">
        <v>315</v>
      </c>
      <c r="F207" s="4">
        <v>2763756</v>
      </c>
      <c r="G207" s="4">
        <v>1255738</v>
      </c>
      <c r="H207" s="2">
        <v>0</v>
      </c>
      <c r="I207" s="5">
        <v>1</v>
      </c>
      <c r="J207" s="5">
        <v>0</v>
      </c>
      <c r="K207" s="11" t="str">
        <f>HYPERLINK("https://www.geoportal.ch/ktsg/map/34?y=2763756&amp;x=1255738&amp;scale=2500&amp;topic=coord&amp;highlight=1&amp;label=Standort|Feuerverbotsplakat","Karte")</f>
        <v>Karte</v>
      </c>
    </row>
    <row r="208" spans="1:11" x14ac:dyDescent="0.2">
      <c r="A208" s="1" t="s">
        <v>425</v>
      </c>
      <c r="B208" s="1" t="s">
        <v>97</v>
      </c>
      <c r="C208" s="1" t="s">
        <v>9</v>
      </c>
      <c r="D208" s="2">
        <v>2036</v>
      </c>
      <c r="E208" s="1" t="s">
        <v>796</v>
      </c>
      <c r="F208" s="4">
        <v>2763800</v>
      </c>
      <c r="G208" s="4">
        <v>1255596</v>
      </c>
      <c r="H208" s="2">
        <v>0</v>
      </c>
      <c r="I208" s="5">
        <v>1</v>
      </c>
      <c r="J208" s="5">
        <v>0</v>
      </c>
      <c r="K208" s="11" t="str">
        <f>HYPERLINK("https://www.geoportal.ch/ktsg/map/34?y=2763800&amp;x=1255596&amp;scale=2500&amp;topic=coord&amp;highlight=1&amp;label=Standort|Feuerverbotsplakat","Karte")</f>
        <v>Karte</v>
      </c>
    </row>
    <row r="209" spans="1:11" x14ac:dyDescent="0.2">
      <c r="A209" s="1" t="s">
        <v>425</v>
      </c>
      <c r="B209" s="1" t="s">
        <v>97</v>
      </c>
      <c r="C209" s="1" t="s">
        <v>9</v>
      </c>
      <c r="D209" s="2">
        <v>2037</v>
      </c>
      <c r="E209" s="1" t="s">
        <v>580</v>
      </c>
      <c r="F209" s="4">
        <v>2763606</v>
      </c>
      <c r="G209" s="4">
        <v>1255512</v>
      </c>
      <c r="H209" s="2">
        <v>0</v>
      </c>
      <c r="I209" s="5">
        <v>1</v>
      </c>
      <c r="J209" s="5">
        <v>0</v>
      </c>
      <c r="K209" s="11" t="str">
        <f>HYPERLINK("https://www.geoportal.ch/ktsg/map/34?y=2763606&amp;x=1255512&amp;scale=2500&amp;topic=coord&amp;highlight=1&amp;label=Standort|Feuerverbotsplakat","Karte")</f>
        <v>Karte</v>
      </c>
    </row>
    <row r="210" spans="1:11" x14ac:dyDescent="0.2">
      <c r="A210" s="1" t="s">
        <v>425</v>
      </c>
      <c r="B210" s="1" t="s">
        <v>97</v>
      </c>
      <c r="C210" s="1" t="s">
        <v>9</v>
      </c>
      <c r="D210" s="2">
        <v>2038</v>
      </c>
      <c r="E210" s="1" t="s">
        <v>581</v>
      </c>
      <c r="F210" s="4">
        <v>2764479</v>
      </c>
      <c r="G210" s="4">
        <v>1255824</v>
      </c>
      <c r="H210" s="2">
        <v>0</v>
      </c>
      <c r="I210" s="5">
        <v>1</v>
      </c>
      <c r="J210" s="5">
        <v>0</v>
      </c>
      <c r="K210" s="11" t="str">
        <f>HYPERLINK("https://www.geoportal.ch/ktsg/map/34?y=2764479&amp;x=1255824&amp;scale=2500&amp;topic=coord&amp;highlight=1&amp;label=Standort|Feuerverbotsplakat","Karte")</f>
        <v>Karte</v>
      </c>
    </row>
    <row r="211" spans="1:11" x14ac:dyDescent="0.2">
      <c r="A211" s="1" t="s">
        <v>425</v>
      </c>
      <c r="B211" s="1" t="s">
        <v>97</v>
      </c>
      <c r="C211" s="1" t="s">
        <v>9</v>
      </c>
      <c r="D211" s="2">
        <v>2039</v>
      </c>
      <c r="E211" s="1" t="s">
        <v>582</v>
      </c>
      <c r="F211" s="4">
        <v>2764836</v>
      </c>
      <c r="G211" s="4">
        <v>1255971</v>
      </c>
      <c r="H211" s="2">
        <v>0</v>
      </c>
      <c r="I211" s="5">
        <v>1</v>
      </c>
      <c r="J211" s="5">
        <v>0</v>
      </c>
      <c r="K211" s="11" t="str">
        <f>HYPERLINK("https://www.geoportal.ch/ktsg/map/34?y=2764836&amp;x=1255971&amp;scale=2500&amp;topic=coord&amp;highlight=1&amp;label=Standort|Feuerverbotsplakat","Karte")</f>
        <v>Karte</v>
      </c>
    </row>
    <row r="212" spans="1:11" x14ac:dyDescent="0.2">
      <c r="A212" s="1" t="s">
        <v>425</v>
      </c>
      <c r="B212" s="1" t="s">
        <v>97</v>
      </c>
      <c r="C212" s="1" t="s">
        <v>9</v>
      </c>
      <c r="D212" s="2">
        <v>2040</v>
      </c>
      <c r="E212" s="1" t="s">
        <v>314</v>
      </c>
      <c r="F212" s="4">
        <v>2763904</v>
      </c>
      <c r="G212" s="4">
        <v>1254700</v>
      </c>
      <c r="H212" s="2">
        <v>0</v>
      </c>
      <c r="I212" s="5">
        <v>1</v>
      </c>
      <c r="J212" s="5">
        <v>0</v>
      </c>
      <c r="K212" s="11" t="str">
        <f>HYPERLINK("https://www.geoportal.ch/ktsg/map/34?y=2763904&amp;x=1254700&amp;scale=2500&amp;topic=coord&amp;highlight=1&amp;label=Standort|Feuerverbotsplakat","Karte")</f>
        <v>Karte</v>
      </c>
    </row>
    <row r="213" spans="1:11" x14ac:dyDescent="0.2">
      <c r="A213" s="1" t="s">
        <v>425</v>
      </c>
      <c r="B213" s="1" t="s">
        <v>97</v>
      </c>
      <c r="C213" s="1" t="s">
        <v>9</v>
      </c>
      <c r="D213" s="2">
        <v>2041</v>
      </c>
      <c r="E213" s="1" t="s">
        <v>313</v>
      </c>
      <c r="F213" s="4">
        <v>2763639</v>
      </c>
      <c r="G213" s="4">
        <v>1254588</v>
      </c>
      <c r="H213" s="2">
        <v>0</v>
      </c>
      <c r="I213" s="5">
        <v>1</v>
      </c>
      <c r="J213" s="5">
        <v>0</v>
      </c>
      <c r="K213" s="11" t="str">
        <f>HYPERLINK("https://www.geoportal.ch/ktsg/map/34?y=2763639&amp;x=1254588&amp;scale=2500&amp;topic=coord&amp;highlight=1&amp;label=Standort|Feuerverbotsplakat","Karte")</f>
        <v>Karte</v>
      </c>
    </row>
    <row r="214" spans="1:11" x14ac:dyDescent="0.2">
      <c r="A214" s="1" t="s">
        <v>425</v>
      </c>
      <c r="B214" s="1" t="s">
        <v>97</v>
      </c>
      <c r="C214" s="1" t="s">
        <v>9</v>
      </c>
      <c r="D214" s="2">
        <v>2042</v>
      </c>
      <c r="E214" s="1" t="s">
        <v>583</v>
      </c>
      <c r="F214" s="4">
        <v>2763618</v>
      </c>
      <c r="G214" s="4">
        <v>1254430</v>
      </c>
      <c r="H214" s="2">
        <v>0</v>
      </c>
      <c r="I214" s="5">
        <v>1</v>
      </c>
      <c r="J214" s="5">
        <v>0</v>
      </c>
      <c r="K214" s="11" t="str">
        <f>HYPERLINK("https://www.geoportal.ch/ktsg/map/34?y=2763618&amp;x=1254430&amp;scale=2500&amp;topic=coord&amp;highlight=1&amp;label=Standort|Feuerverbotsplakat","Karte")</f>
        <v>Karte</v>
      </c>
    </row>
    <row r="215" spans="1:11" x14ac:dyDescent="0.2">
      <c r="A215" s="1" t="s">
        <v>425</v>
      </c>
      <c r="B215" s="1" t="s">
        <v>97</v>
      </c>
      <c r="C215" s="1" t="s">
        <v>9</v>
      </c>
      <c r="D215" s="2">
        <v>2043</v>
      </c>
      <c r="E215" s="1" t="s">
        <v>623</v>
      </c>
      <c r="F215" s="4">
        <v>2764033</v>
      </c>
      <c r="G215" s="4">
        <v>1254556</v>
      </c>
      <c r="H215" s="2">
        <v>0</v>
      </c>
      <c r="I215" s="5">
        <v>1</v>
      </c>
      <c r="J215" s="5">
        <v>0</v>
      </c>
      <c r="K215" s="11" t="str">
        <f>HYPERLINK("https://www.geoportal.ch/ktsg/map/34?y=2764033&amp;x=1254556&amp;scale=2500&amp;topic=coord&amp;highlight=1&amp;label=Standort|Feuerverbotsplakat","Karte")</f>
        <v>Karte</v>
      </c>
    </row>
    <row r="216" spans="1:11" x14ac:dyDescent="0.2">
      <c r="A216" s="1" t="s">
        <v>425</v>
      </c>
      <c r="B216" s="1" t="s">
        <v>97</v>
      </c>
      <c r="C216" s="1" t="s">
        <v>9</v>
      </c>
      <c r="D216" s="2">
        <v>2044</v>
      </c>
      <c r="E216" s="1" t="s">
        <v>312</v>
      </c>
      <c r="F216" s="4">
        <v>2764408</v>
      </c>
      <c r="G216" s="4">
        <v>1254575</v>
      </c>
      <c r="H216" s="2">
        <v>0</v>
      </c>
      <c r="I216" s="5">
        <v>1</v>
      </c>
      <c r="J216" s="5">
        <v>0</v>
      </c>
      <c r="K216" s="11" t="str">
        <f>HYPERLINK("https://www.geoportal.ch/ktsg/map/34?y=2764408&amp;x=1254575&amp;scale=2500&amp;topic=coord&amp;highlight=1&amp;label=Standort|Feuerverbotsplakat","Karte")</f>
        <v>Karte</v>
      </c>
    </row>
    <row r="217" spans="1:11" x14ac:dyDescent="0.2">
      <c r="A217" s="1" t="s">
        <v>425</v>
      </c>
      <c r="B217" s="1" t="s">
        <v>97</v>
      </c>
      <c r="C217" s="1" t="s">
        <v>9</v>
      </c>
      <c r="D217" s="2">
        <v>2045</v>
      </c>
      <c r="E217" s="1" t="s">
        <v>584</v>
      </c>
      <c r="F217" s="4">
        <v>2764604</v>
      </c>
      <c r="G217" s="4">
        <v>1254597</v>
      </c>
      <c r="H217" s="2">
        <v>0</v>
      </c>
      <c r="I217" s="5">
        <v>1</v>
      </c>
      <c r="J217" s="5">
        <v>0</v>
      </c>
      <c r="K217" s="11" t="str">
        <f>HYPERLINK("https://www.geoportal.ch/ktsg/map/34?y=2764604&amp;x=1254597&amp;scale=2500&amp;topic=coord&amp;highlight=1&amp;label=Standort|Feuerverbotsplakat","Karte")</f>
        <v>Karte</v>
      </c>
    </row>
    <row r="218" spans="1:11" x14ac:dyDescent="0.2">
      <c r="A218" s="1" t="s">
        <v>425</v>
      </c>
      <c r="B218" s="1" t="s">
        <v>97</v>
      </c>
      <c r="C218" s="1" t="s">
        <v>9</v>
      </c>
      <c r="D218" s="2">
        <v>2046</v>
      </c>
      <c r="E218" s="1" t="s">
        <v>585</v>
      </c>
      <c r="F218" s="4">
        <v>2764659</v>
      </c>
      <c r="G218" s="4">
        <v>1254053</v>
      </c>
      <c r="H218" s="2">
        <v>0</v>
      </c>
      <c r="I218" s="5">
        <v>1</v>
      </c>
      <c r="J218" s="5">
        <v>0</v>
      </c>
      <c r="K218" s="11" t="str">
        <f>HYPERLINK("https://www.geoportal.ch/ktsg/map/34?y=2764659&amp;x=1254053&amp;scale=2500&amp;topic=coord&amp;highlight=1&amp;label=Standort|Feuerverbotsplakat","Karte")</f>
        <v>Karte</v>
      </c>
    </row>
    <row r="219" spans="1:11" x14ac:dyDescent="0.2">
      <c r="A219" s="1" t="s">
        <v>425</v>
      </c>
      <c r="B219" s="1" t="s">
        <v>97</v>
      </c>
      <c r="C219" s="1" t="s">
        <v>9</v>
      </c>
      <c r="D219" s="2">
        <v>2047</v>
      </c>
      <c r="E219" s="1" t="s">
        <v>586</v>
      </c>
      <c r="F219" s="4">
        <v>2764656</v>
      </c>
      <c r="G219" s="4">
        <v>1254040</v>
      </c>
      <c r="H219" s="2">
        <v>0</v>
      </c>
      <c r="I219" s="5">
        <v>1</v>
      </c>
      <c r="J219" s="5">
        <v>0</v>
      </c>
      <c r="K219" s="11" t="str">
        <f>HYPERLINK("https://www.geoportal.ch/ktsg/map/34?y=2764656&amp;x=1254040&amp;scale=2500&amp;topic=coord&amp;highlight=1&amp;label=Standort|Feuerverbotsplakat","Karte")</f>
        <v>Karte</v>
      </c>
    </row>
    <row r="220" spans="1:11" x14ac:dyDescent="0.2">
      <c r="A220" s="1" t="s">
        <v>425</v>
      </c>
      <c r="B220" s="1" t="s">
        <v>97</v>
      </c>
      <c r="C220" s="1" t="s">
        <v>9</v>
      </c>
      <c r="D220" s="2">
        <v>2048</v>
      </c>
      <c r="E220" s="1" t="s">
        <v>587</v>
      </c>
      <c r="F220" s="4">
        <v>2764929</v>
      </c>
      <c r="G220" s="4">
        <v>1253910</v>
      </c>
      <c r="H220" s="2">
        <v>0</v>
      </c>
      <c r="I220" s="5">
        <v>1</v>
      </c>
      <c r="J220" s="5">
        <v>0</v>
      </c>
      <c r="K220" s="11" t="str">
        <f>HYPERLINK("https://www.geoportal.ch/ktsg/map/34?y=2764929&amp;x=1253910&amp;scale=2500&amp;topic=coord&amp;highlight=1&amp;label=Standort|Feuerverbotsplakat","Karte")</f>
        <v>Karte</v>
      </c>
    </row>
    <row r="221" spans="1:11" x14ac:dyDescent="0.2">
      <c r="A221" s="1" t="s">
        <v>425</v>
      </c>
      <c r="B221" s="1" t="s">
        <v>97</v>
      </c>
      <c r="C221" s="1" t="s">
        <v>9</v>
      </c>
      <c r="D221" s="2">
        <v>2049</v>
      </c>
      <c r="E221" s="1" t="s">
        <v>588</v>
      </c>
      <c r="F221" s="4">
        <v>2762849</v>
      </c>
      <c r="G221" s="4">
        <v>1254850</v>
      </c>
      <c r="H221" s="2">
        <v>0</v>
      </c>
      <c r="I221" s="5">
        <v>1</v>
      </c>
      <c r="J221" s="5">
        <v>0</v>
      </c>
      <c r="K221" s="11" t="str">
        <f>HYPERLINK("https://www.geoportal.ch/ktsg/map/34?y=2762849&amp;x=1254850&amp;scale=2500&amp;topic=coord&amp;highlight=1&amp;label=Standort|Feuerverbotsplakat","Karte")</f>
        <v>Karte</v>
      </c>
    </row>
    <row r="222" spans="1:11" x14ac:dyDescent="0.2">
      <c r="A222" s="1" t="s">
        <v>425</v>
      </c>
      <c r="B222" s="1" t="s">
        <v>111</v>
      </c>
      <c r="C222" s="1" t="s">
        <v>112</v>
      </c>
      <c r="D222" s="2">
        <v>2050</v>
      </c>
      <c r="E222" s="1" t="s">
        <v>624</v>
      </c>
      <c r="F222" s="4">
        <v>2754506</v>
      </c>
      <c r="G222" s="4">
        <v>1228926</v>
      </c>
      <c r="H222" s="2">
        <v>0</v>
      </c>
      <c r="I222" s="5">
        <v>1</v>
      </c>
      <c r="J222" s="5">
        <v>0</v>
      </c>
      <c r="K222" s="11" t="str">
        <f>HYPERLINK("https://www.geoportal.ch/ktsg/map/34?y=2754506&amp;x=1228926&amp;scale=2500&amp;topic=coord&amp;highlight=1&amp;label=Standort|Feuerverbotsplakat","Karte")</f>
        <v>Karte</v>
      </c>
    </row>
    <row r="223" spans="1:11" x14ac:dyDescent="0.2">
      <c r="A223" s="1" t="s">
        <v>425</v>
      </c>
      <c r="B223" s="1" t="s">
        <v>111</v>
      </c>
      <c r="C223" s="1" t="s">
        <v>112</v>
      </c>
      <c r="D223" s="2">
        <v>2051</v>
      </c>
      <c r="E223" s="1" t="s">
        <v>389</v>
      </c>
      <c r="F223" s="4">
        <v>2755062</v>
      </c>
      <c r="G223" s="4">
        <v>1227072</v>
      </c>
      <c r="H223" s="2">
        <v>0</v>
      </c>
      <c r="I223" s="5">
        <v>1</v>
      </c>
      <c r="J223" s="5">
        <v>0</v>
      </c>
      <c r="K223" s="11" t="str">
        <f>HYPERLINK("https://www.geoportal.ch/ktsg/map/34?y=2755062&amp;x=1227072&amp;scale=2500&amp;topic=coord&amp;highlight=1&amp;label=Standort|Feuerverbotsplakat","Karte")</f>
        <v>Karte</v>
      </c>
    </row>
    <row r="224" spans="1:11" x14ac:dyDescent="0.2">
      <c r="A224" s="1" t="s">
        <v>425</v>
      </c>
      <c r="B224" s="1" t="s">
        <v>111</v>
      </c>
      <c r="C224" s="1" t="s">
        <v>112</v>
      </c>
      <c r="D224" s="2">
        <v>2052</v>
      </c>
      <c r="E224" s="1" t="s">
        <v>797</v>
      </c>
      <c r="F224" s="4">
        <v>2755305</v>
      </c>
      <c r="G224" s="4">
        <v>1225524</v>
      </c>
      <c r="H224" s="2">
        <v>0</v>
      </c>
      <c r="I224" s="5">
        <v>1</v>
      </c>
      <c r="J224" s="5">
        <v>0</v>
      </c>
      <c r="K224" s="11" t="str">
        <f>HYPERLINK("https://www.geoportal.ch/ktsg/map/34?y=2755305&amp;x=1225524&amp;scale=2500&amp;topic=coord&amp;highlight=1&amp;label=Standort|Feuerverbotsplakat","Karte")</f>
        <v>Karte</v>
      </c>
    </row>
    <row r="225" spans="1:11" x14ac:dyDescent="0.2">
      <c r="A225" s="1" t="s">
        <v>425</v>
      </c>
      <c r="B225" s="1" t="s">
        <v>111</v>
      </c>
      <c r="C225" s="1" t="s">
        <v>112</v>
      </c>
      <c r="D225" s="2">
        <v>2053</v>
      </c>
      <c r="E225" s="1" t="s">
        <v>419</v>
      </c>
      <c r="F225" s="4">
        <v>2755702</v>
      </c>
      <c r="G225" s="4">
        <v>1224470</v>
      </c>
      <c r="H225" s="2">
        <v>0</v>
      </c>
      <c r="I225" s="5">
        <v>1</v>
      </c>
      <c r="J225" s="5">
        <v>0</v>
      </c>
      <c r="K225" s="11" t="str">
        <f>HYPERLINK("https://www.geoportal.ch/ktsg/map/34?y=2755702&amp;x=1224470&amp;scale=2500&amp;topic=coord&amp;highlight=1&amp;label=Standort|Feuerverbotsplakat","Karte")</f>
        <v>Karte</v>
      </c>
    </row>
    <row r="226" spans="1:11" x14ac:dyDescent="0.2">
      <c r="A226" s="1" t="s">
        <v>425</v>
      </c>
      <c r="B226" s="1" t="s">
        <v>111</v>
      </c>
      <c r="C226" s="1" t="s">
        <v>112</v>
      </c>
      <c r="D226" s="2">
        <v>2054</v>
      </c>
      <c r="E226" s="1" t="s">
        <v>625</v>
      </c>
      <c r="F226" s="4">
        <v>2754591</v>
      </c>
      <c r="G226" s="4">
        <v>1223763</v>
      </c>
      <c r="H226" s="2">
        <v>0</v>
      </c>
      <c r="I226" s="5">
        <v>1</v>
      </c>
      <c r="J226" s="5">
        <v>0</v>
      </c>
      <c r="K226" s="11" t="str">
        <f>HYPERLINK("https://www.geoportal.ch/ktsg/map/34?y=2754591&amp;x=1223763&amp;scale=2500&amp;topic=coord&amp;highlight=1&amp;label=Standort|Feuerverbotsplakat","Karte")</f>
        <v>Karte</v>
      </c>
    </row>
    <row r="227" spans="1:11" x14ac:dyDescent="0.2">
      <c r="A227" s="1" t="s">
        <v>425</v>
      </c>
      <c r="B227" s="1" t="s">
        <v>111</v>
      </c>
      <c r="C227" s="1" t="s">
        <v>112</v>
      </c>
      <c r="D227" s="2">
        <v>2055</v>
      </c>
      <c r="E227" s="1" t="s">
        <v>798</v>
      </c>
      <c r="F227" s="4">
        <v>2754266</v>
      </c>
      <c r="G227" s="4">
        <v>1224106</v>
      </c>
      <c r="H227" s="2">
        <v>0</v>
      </c>
      <c r="I227" s="5">
        <v>1</v>
      </c>
      <c r="J227" s="5">
        <v>0</v>
      </c>
      <c r="K227" s="11" t="str">
        <f>HYPERLINK("https://www.geoportal.ch/ktsg/map/34?y=2754266&amp;x=1224106&amp;scale=2500&amp;topic=coord&amp;highlight=1&amp;label=Standort|Feuerverbotsplakat","Karte")</f>
        <v>Karte</v>
      </c>
    </row>
    <row r="228" spans="1:11" x14ac:dyDescent="0.2">
      <c r="A228" s="1" t="s">
        <v>425</v>
      </c>
      <c r="B228" s="1" t="s">
        <v>111</v>
      </c>
      <c r="C228" s="1" t="s">
        <v>112</v>
      </c>
      <c r="D228" s="2">
        <v>2056</v>
      </c>
      <c r="E228" s="1" t="s">
        <v>388</v>
      </c>
      <c r="F228" s="4">
        <v>2753353</v>
      </c>
      <c r="G228" s="4">
        <v>1225729</v>
      </c>
      <c r="H228" s="2">
        <v>0</v>
      </c>
      <c r="I228" s="5">
        <v>1</v>
      </c>
      <c r="J228" s="5">
        <v>0</v>
      </c>
      <c r="K228" s="11" t="str">
        <f>HYPERLINK("https://www.geoportal.ch/ktsg/map/34?y=2753353&amp;x=1225729&amp;scale=2500&amp;topic=coord&amp;highlight=1&amp;label=Standort|Feuerverbotsplakat","Karte")</f>
        <v>Karte</v>
      </c>
    </row>
    <row r="229" spans="1:11" x14ac:dyDescent="0.2">
      <c r="A229" s="1" t="s">
        <v>425</v>
      </c>
      <c r="B229" s="1" t="s">
        <v>111</v>
      </c>
      <c r="C229" s="1" t="s">
        <v>112</v>
      </c>
      <c r="D229" s="2">
        <v>2057</v>
      </c>
      <c r="E229" s="1" t="s">
        <v>387</v>
      </c>
      <c r="F229" s="4">
        <v>2753450</v>
      </c>
      <c r="G229" s="4">
        <v>1225506</v>
      </c>
      <c r="H229" s="2">
        <v>0</v>
      </c>
      <c r="I229" s="5">
        <v>1</v>
      </c>
      <c r="J229" s="5">
        <v>0</v>
      </c>
      <c r="K229" s="11" t="str">
        <f>HYPERLINK("https://www.geoportal.ch/ktsg/map/34?y=2753450&amp;x=1225506&amp;scale=2500&amp;topic=coord&amp;highlight=1&amp;label=Standort|Feuerverbotsplakat","Karte")</f>
        <v>Karte</v>
      </c>
    </row>
    <row r="230" spans="1:11" x14ac:dyDescent="0.2">
      <c r="A230" s="1" t="s">
        <v>425</v>
      </c>
      <c r="B230" s="1" t="s">
        <v>111</v>
      </c>
      <c r="C230" s="1" t="s">
        <v>112</v>
      </c>
      <c r="D230" s="2">
        <v>2058</v>
      </c>
      <c r="E230" s="1" t="s">
        <v>626</v>
      </c>
      <c r="F230" s="4">
        <v>2753791</v>
      </c>
      <c r="G230" s="4">
        <v>1225590</v>
      </c>
      <c r="H230" s="2">
        <v>0</v>
      </c>
      <c r="I230" s="5">
        <v>1</v>
      </c>
      <c r="J230" s="5">
        <v>0</v>
      </c>
      <c r="K230" s="11" t="str">
        <f>HYPERLINK("https://www.geoportal.ch/ktsg/map/34?y=2753791&amp;x=1225590&amp;scale=2500&amp;topic=coord&amp;highlight=1&amp;label=Standort|Feuerverbotsplakat","Karte")</f>
        <v>Karte</v>
      </c>
    </row>
    <row r="231" spans="1:11" x14ac:dyDescent="0.2">
      <c r="A231" s="1" t="s">
        <v>425</v>
      </c>
      <c r="B231" s="1" t="s">
        <v>111</v>
      </c>
      <c r="C231" s="1" t="s">
        <v>112</v>
      </c>
      <c r="D231" s="2">
        <v>2059</v>
      </c>
      <c r="E231" s="1" t="s">
        <v>553</v>
      </c>
      <c r="F231" s="4">
        <v>2753860</v>
      </c>
      <c r="G231" s="4">
        <v>1224915</v>
      </c>
      <c r="H231" s="2">
        <v>0</v>
      </c>
      <c r="I231" s="5">
        <v>1</v>
      </c>
      <c r="J231" s="5">
        <v>0</v>
      </c>
      <c r="K231" s="11" t="str">
        <f>HYPERLINK("https://www.geoportal.ch/ktsg/map/34?y=2753860&amp;x=1224915&amp;scale=2500&amp;topic=coord&amp;highlight=1&amp;label=Standort|Feuerverbotsplakat","Karte")</f>
        <v>Karte</v>
      </c>
    </row>
    <row r="232" spans="1:11" x14ac:dyDescent="0.2">
      <c r="A232" s="1" t="s">
        <v>425</v>
      </c>
      <c r="B232" s="1" t="s">
        <v>111</v>
      </c>
      <c r="C232" s="1" t="s">
        <v>112</v>
      </c>
      <c r="D232" s="2">
        <v>2060</v>
      </c>
      <c r="E232" s="1" t="s">
        <v>386</v>
      </c>
      <c r="F232" s="4">
        <v>2753217</v>
      </c>
      <c r="G232" s="4">
        <v>1224915</v>
      </c>
      <c r="H232" s="2">
        <v>0</v>
      </c>
      <c r="I232" s="5">
        <v>1</v>
      </c>
      <c r="J232" s="5">
        <v>0</v>
      </c>
      <c r="K232" s="11" t="str">
        <f>HYPERLINK("https://www.geoportal.ch/ktsg/map/34?y=2753217&amp;x=1224915&amp;scale=2500&amp;topic=coord&amp;highlight=1&amp;label=Standort|Feuerverbotsplakat","Karte")</f>
        <v>Karte</v>
      </c>
    </row>
    <row r="233" spans="1:11" x14ac:dyDescent="0.2">
      <c r="A233" s="1" t="s">
        <v>425</v>
      </c>
      <c r="B233" s="1" t="s">
        <v>111</v>
      </c>
      <c r="C233" s="1" t="s">
        <v>112</v>
      </c>
      <c r="D233" s="2">
        <v>2061</v>
      </c>
      <c r="E233" s="1" t="s">
        <v>799</v>
      </c>
      <c r="F233" s="4">
        <v>2752153</v>
      </c>
      <c r="G233" s="4">
        <v>1224053</v>
      </c>
      <c r="H233" s="2">
        <v>0</v>
      </c>
      <c r="I233" s="5">
        <v>1</v>
      </c>
      <c r="J233" s="5">
        <v>0</v>
      </c>
      <c r="K233" s="11" t="str">
        <f>HYPERLINK("https://www.geoportal.ch/ktsg/map/34?y=2752153&amp;x=1224053&amp;scale=2500&amp;topic=coord&amp;highlight=1&amp;label=Standort|Feuerverbotsplakat","Karte")</f>
        <v>Karte</v>
      </c>
    </row>
    <row r="234" spans="1:11" x14ac:dyDescent="0.2">
      <c r="A234" s="1" t="s">
        <v>425</v>
      </c>
      <c r="B234" s="1" t="s">
        <v>111</v>
      </c>
      <c r="C234" s="1" t="s">
        <v>112</v>
      </c>
      <c r="D234" s="2">
        <v>2062</v>
      </c>
      <c r="E234" s="1" t="s">
        <v>385</v>
      </c>
      <c r="F234" s="4">
        <v>2751407</v>
      </c>
      <c r="G234" s="4">
        <v>1223636</v>
      </c>
      <c r="H234" s="2">
        <v>0</v>
      </c>
      <c r="I234" s="5">
        <v>1</v>
      </c>
      <c r="J234" s="5">
        <v>0</v>
      </c>
      <c r="K234" s="11" t="str">
        <f>HYPERLINK("https://www.geoportal.ch/ktsg/map/34?y=2751407&amp;x=1223636&amp;scale=2500&amp;topic=coord&amp;highlight=1&amp;label=Standort|Feuerverbotsplakat","Karte")</f>
        <v>Karte</v>
      </c>
    </row>
    <row r="235" spans="1:11" x14ac:dyDescent="0.2">
      <c r="A235" s="1" t="s">
        <v>425</v>
      </c>
      <c r="B235" s="1" t="s">
        <v>111</v>
      </c>
      <c r="C235" s="1" t="s">
        <v>112</v>
      </c>
      <c r="D235" s="2">
        <v>2063</v>
      </c>
      <c r="E235" s="1" t="s">
        <v>892</v>
      </c>
      <c r="F235" s="4">
        <v>2753582</v>
      </c>
      <c r="G235" s="4">
        <v>1226089</v>
      </c>
      <c r="H235" s="2">
        <v>0</v>
      </c>
      <c r="I235" s="5">
        <v>0</v>
      </c>
      <c r="J235" s="8">
        <v>1</v>
      </c>
      <c r="K235" s="11" t="str">
        <f>HYPERLINK("https://www.geoportal.ch/ktsg/map/34?y=2753582&amp;x=1226089&amp;scale=2500&amp;topic=coord&amp;highlight=1&amp;label=Standort|Feuerverbotsplakat","Karte")</f>
        <v>Karte</v>
      </c>
    </row>
    <row r="236" spans="1:11" x14ac:dyDescent="0.2">
      <c r="A236" s="1" t="s">
        <v>425</v>
      </c>
      <c r="B236" s="1" t="s">
        <v>111</v>
      </c>
      <c r="C236" s="1" t="s">
        <v>112</v>
      </c>
      <c r="D236" s="2">
        <v>2064</v>
      </c>
      <c r="E236" s="1" t="s">
        <v>893</v>
      </c>
      <c r="F236" s="4">
        <v>2755220</v>
      </c>
      <c r="G236" s="4">
        <v>1223617</v>
      </c>
      <c r="H236" s="2">
        <v>0</v>
      </c>
      <c r="I236" s="5">
        <v>0</v>
      </c>
      <c r="J236" s="8">
        <v>1</v>
      </c>
      <c r="K236" s="11" t="str">
        <f>HYPERLINK("https://www.geoportal.ch/ktsg/map/34?y=2755220&amp;x=1223617&amp;scale=2500&amp;topic=coord&amp;highlight=1&amp;label=Standort|Feuerverbotsplakat","Karte")</f>
        <v>Karte</v>
      </c>
    </row>
    <row r="237" spans="1:11" x14ac:dyDescent="0.2">
      <c r="A237" s="1" t="s">
        <v>425</v>
      </c>
      <c r="B237" s="1" t="s">
        <v>111</v>
      </c>
      <c r="C237" s="1" t="s">
        <v>112</v>
      </c>
      <c r="D237" s="2">
        <v>2065</v>
      </c>
      <c r="E237" s="1" t="s">
        <v>894</v>
      </c>
      <c r="F237" s="4">
        <v>2754945</v>
      </c>
      <c r="G237" s="4">
        <v>1226110</v>
      </c>
      <c r="H237" s="2">
        <v>0</v>
      </c>
      <c r="I237" s="5">
        <v>0</v>
      </c>
      <c r="J237" s="8">
        <v>1</v>
      </c>
      <c r="K237" s="11" t="str">
        <f>HYPERLINK("https://www.geoportal.ch/ktsg/map/34?y=2754945&amp;x=1226110&amp;scale=2500&amp;topic=coord&amp;highlight=1&amp;label=Standort|Feuerverbotsplakat","Karte")</f>
        <v>Karte</v>
      </c>
    </row>
    <row r="238" spans="1:11" x14ac:dyDescent="0.2">
      <c r="A238" s="1" t="s">
        <v>425</v>
      </c>
      <c r="B238" s="1" t="s">
        <v>98</v>
      </c>
      <c r="C238" s="1" t="s">
        <v>9</v>
      </c>
      <c r="D238" s="2">
        <v>2066</v>
      </c>
      <c r="E238" s="1" t="s">
        <v>319</v>
      </c>
      <c r="F238" s="4">
        <v>2768350</v>
      </c>
      <c r="G238" s="4">
        <v>1251550</v>
      </c>
      <c r="H238" s="2">
        <v>0</v>
      </c>
      <c r="I238" s="5">
        <v>1</v>
      </c>
      <c r="J238" s="5">
        <v>0</v>
      </c>
      <c r="K238" s="11" t="str">
        <f>HYPERLINK("https://www.geoportal.ch/ktsg/map/34?y=2768350&amp;x=1251550&amp;scale=2500&amp;topic=coord&amp;highlight=1&amp;label=Standort|Feuerverbotsplakat","Karte")</f>
        <v>Karte</v>
      </c>
    </row>
    <row r="239" spans="1:11" x14ac:dyDescent="0.2">
      <c r="A239" s="1" t="s">
        <v>425</v>
      </c>
      <c r="B239" s="1" t="s">
        <v>98</v>
      </c>
      <c r="C239" s="1" t="s">
        <v>9</v>
      </c>
      <c r="D239" s="2">
        <v>2067</v>
      </c>
      <c r="E239" s="1" t="s">
        <v>318</v>
      </c>
      <c r="F239" s="4">
        <v>2766500</v>
      </c>
      <c r="G239" s="4">
        <v>1250250</v>
      </c>
      <c r="H239" s="2">
        <v>0</v>
      </c>
      <c r="I239" s="5">
        <v>1</v>
      </c>
      <c r="J239" s="5">
        <v>0</v>
      </c>
      <c r="K239" s="11" t="str">
        <f>HYPERLINK("https://www.geoportal.ch/ktsg/map/34?y=2766500&amp;x=1250250&amp;scale=2500&amp;topic=coord&amp;highlight=1&amp;label=Standort|Feuerverbotsplakat","Karte")</f>
        <v>Karte</v>
      </c>
    </row>
    <row r="240" spans="1:11" x14ac:dyDescent="0.2">
      <c r="A240" s="1" t="s">
        <v>425</v>
      </c>
      <c r="B240" s="1" t="s">
        <v>98</v>
      </c>
      <c r="C240" s="1" t="s">
        <v>9</v>
      </c>
      <c r="D240" s="2">
        <v>2068</v>
      </c>
      <c r="E240" s="1" t="s">
        <v>317</v>
      </c>
      <c r="F240" s="4">
        <v>2767375</v>
      </c>
      <c r="G240" s="4">
        <v>1250740</v>
      </c>
      <c r="H240" s="2">
        <v>0</v>
      </c>
      <c r="I240" s="5">
        <v>1</v>
      </c>
      <c r="J240" s="5">
        <v>0</v>
      </c>
      <c r="K240" s="11" t="str">
        <f>HYPERLINK("https://www.geoportal.ch/ktsg/map/34?y=2767375&amp;x=1250740&amp;scale=2500&amp;topic=coord&amp;highlight=1&amp;label=Standort|Feuerverbotsplakat","Karte")</f>
        <v>Karte</v>
      </c>
    </row>
    <row r="241" spans="1:11" x14ac:dyDescent="0.2">
      <c r="A241" s="1" t="s">
        <v>425</v>
      </c>
      <c r="B241" s="1" t="s">
        <v>104</v>
      </c>
      <c r="C241" s="1" t="s">
        <v>103</v>
      </c>
      <c r="D241" s="2">
        <v>2069</v>
      </c>
      <c r="E241" s="1" t="s">
        <v>354</v>
      </c>
      <c r="F241" s="4">
        <v>2756132</v>
      </c>
      <c r="G241" s="4">
        <v>1245055</v>
      </c>
      <c r="H241" s="2">
        <v>0</v>
      </c>
      <c r="I241" s="5">
        <v>1</v>
      </c>
      <c r="J241" s="5">
        <v>0</v>
      </c>
      <c r="K241" s="11" t="str">
        <f>HYPERLINK("https://www.geoportal.ch/ktsg/map/34?y=2756132&amp;x=1245055&amp;scale=2500&amp;topic=coord&amp;highlight=1&amp;label=Standort|Feuerverbotsplakat","Karte")</f>
        <v>Karte</v>
      </c>
    </row>
    <row r="242" spans="1:11" x14ac:dyDescent="0.2">
      <c r="A242" s="1" t="s">
        <v>425</v>
      </c>
      <c r="B242" s="1" t="s">
        <v>104</v>
      </c>
      <c r="C242" s="1" t="s">
        <v>103</v>
      </c>
      <c r="D242" s="2">
        <v>2070</v>
      </c>
      <c r="E242" s="1" t="s">
        <v>353</v>
      </c>
      <c r="F242" s="4">
        <v>2756159</v>
      </c>
      <c r="G242" s="4">
        <v>1245837</v>
      </c>
      <c r="H242" s="2">
        <v>0</v>
      </c>
      <c r="I242" s="5">
        <v>1</v>
      </c>
      <c r="J242" s="5">
        <v>0</v>
      </c>
      <c r="K242" s="11" t="str">
        <f>HYPERLINK("https://www.geoportal.ch/ktsg/map/34?y=2756159&amp;x=1245837&amp;scale=2500&amp;topic=coord&amp;highlight=1&amp;label=Standort|Feuerverbotsplakat","Karte")</f>
        <v>Karte</v>
      </c>
    </row>
    <row r="243" spans="1:11" x14ac:dyDescent="0.2">
      <c r="A243" s="1" t="s">
        <v>425</v>
      </c>
      <c r="B243" s="1" t="s">
        <v>104</v>
      </c>
      <c r="C243" s="1" t="s">
        <v>103</v>
      </c>
      <c r="D243" s="2">
        <v>2071</v>
      </c>
      <c r="E243" s="1" t="s">
        <v>352</v>
      </c>
      <c r="F243" s="4">
        <v>2757765</v>
      </c>
      <c r="G243" s="4">
        <v>1246353</v>
      </c>
      <c r="H243" s="2">
        <v>0</v>
      </c>
      <c r="I243" s="5">
        <v>1</v>
      </c>
      <c r="J243" s="5">
        <v>0</v>
      </c>
      <c r="K243" s="11" t="str">
        <f>HYPERLINK("https://www.geoportal.ch/ktsg/map/34?y=2757765&amp;x=1246353&amp;scale=2500&amp;topic=coord&amp;highlight=1&amp;label=Standort|Feuerverbotsplakat","Karte")</f>
        <v>Karte</v>
      </c>
    </row>
    <row r="244" spans="1:11" x14ac:dyDescent="0.2">
      <c r="A244" s="1" t="s">
        <v>425</v>
      </c>
      <c r="B244" s="1" t="s">
        <v>104</v>
      </c>
      <c r="C244" s="1" t="s">
        <v>103</v>
      </c>
      <c r="D244" s="2">
        <v>2072</v>
      </c>
      <c r="E244" s="1" t="s">
        <v>351</v>
      </c>
      <c r="F244" s="4">
        <v>2756527</v>
      </c>
      <c r="G244" s="4">
        <v>1246657</v>
      </c>
      <c r="H244" s="2">
        <v>0</v>
      </c>
      <c r="I244" s="5">
        <v>1</v>
      </c>
      <c r="J244" s="5">
        <v>0</v>
      </c>
      <c r="K244" s="11" t="str">
        <f>HYPERLINK("https://www.geoportal.ch/ktsg/map/34?y=2756527&amp;x=1246657&amp;scale=2500&amp;topic=coord&amp;highlight=1&amp;label=Standort|Feuerverbotsplakat","Karte")</f>
        <v>Karte</v>
      </c>
    </row>
    <row r="245" spans="1:11" x14ac:dyDescent="0.2">
      <c r="A245" s="1" t="s">
        <v>425</v>
      </c>
      <c r="B245" s="1" t="s">
        <v>104</v>
      </c>
      <c r="C245" s="1" t="s">
        <v>103</v>
      </c>
      <c r="D245" s="2">
        <v>2073</v>
      </c>
      <c r="E245" s="1" t="s">
        <v>350</v>
      </c>
      <c r="F245" s="4">
        <v>2756215</v>
      </c>
      <c r="G245" s="4">
        <v>1247023</v>
      </c>
      <c r="H245" s="2">
        <v>0</v>
      </c>
      <c r="I245" s="5">
        <v>1</v>
      </c>
      <c r="J245" s="5">
        <v>0</v>
      </c>
      <c r="K245" s="11" t="str">
        <f>HYPERLINK("https://www.geoportal.ch/ktsg/map/34?y=2756215&amp;x=1247023&amp;scale=2500&amp;topic=coord&amp;highlight=1&amp;label=Standort|Feuerverbotsplakat","Karte")</f>
        <v>Karte</v>
      </c>
    </row>
    <row r="246" spans="1:11" x14ac:dyDescent="0.2">
      <c r="A246" s="1" t="s">
        <v>425</v>
      </c>
      <c r="B246" s="1" t="s">
        <v>104</v>
      </c>
      <c r="C246" s="1" t="s">
        <v>105</v>
      </c>
      <c r="D246" s="2">
        <v>2074</v>
      </c>
      <c r="E246" s="1" t="s">
        <v>589</v>
      </c>
      <c r="F246" s="4">
        <v>2757570</v>
      </c>
      <c r="G246" s="4">
        <v>1247050</v>
      </c>
      <c r="H246" s="2">
        <v>0</v>
      </c>
      <c r="I246" s="5">
        <v>0</v>
      </c>
      <c r="J246" s="5">
        <v>1</v>
      </c>
      <c r="K246" s="11" t="str">
        <f>HYPERLINK("https://www.geoportal.ch/ktsg/map/34?y=2757570&amp;x=1247050&amp;scale=2500&amp;topic=coord&amp;highlight=1&amp;label=Standort|Feuerverbotsplakat","Karte")</f>
        <v>Karte</v>
      </c>
    </row>
    <row r="247" spans="1:11" x14ac:dyDescent="0.2">
      <c r="A247" s="1" t="s">
        <v>425</v>
      </c>
      <c r="B247" s="1" t="s">
        <v>109</v>
      </c>
      <c r="C247" s="1" t="s">
        <v>9</v>
      </c>
      <c r="D247" s="2">
        <v>2075</v>
      </c>
      <c r="E247" s="1" t="s">
        <v>912</v>
      </c>
      <c r="F247" s="4">
        <v>2751290</v>
      </c>
      <c r="G247" s="4">
        <v>1231142</v>
      </c>
      <c r="H247" s="2">
        <v>0</v>
      </c>
      <c r="I247" s="5">
        <v>1</v>
      </c>
      <c r="J247" s="5">
        <v>0</v>
      </c>
      <c r="K247" s="11" t="str">
        <f>HYPERLINK("https://www.geoportal.ch/ktsg/map/34?y=2751290&amp;x=1231142&amp;scale=2500&amp;topic=coord&amp;highlight=1&amp;label=Standort|Feuerverbotsplakat","Karte")</f>
        <v>Karte</v>
      </c>
    </row>
    <row r="248" spans="1:11" x14ac:dyDescent="0.2">
      <c r="A248" s="1" t="s">
        <v>425</v>
      </c>
      <c r="B248" s="1" t="s">
        <v>109</v>
      </c>
      <c r="C248" s="1" t="s">
        <v>9</v>
      </c>
      <c r="D248" s="2">
        <v>2076</v>
      </c>
      <c r="E248" s="1" t="s">
        <v>370</v>
      </c>
      <c r="F248" s="4">
        <v>2751035</v>
      </c>
      <c r="G248" s="4">
        <v>1230956</v>
      </c>
      <c r="H248" s="2">
        <v>0</v>
      </c>
      <c r="I248" s="5">
        <v>1</v>
      </c>
      <c r="J248" s="5">
        <v>0</v>
      </c>
      <c r="K248" s="11" t="str">
        <f>HYPERLINK("https://www.geoportal.ch/ktsg/map/34?y=2751035&amp;x=1230956&amp;scale=2500&amp;topic=coord&amp;highlight=1&amp;label=Standort|Feuerverbotsplakat","Karte")</f>
        <v>Karte</v>
      </c>
    </row>
    <row r="249" spans="1:11" x14ac:dyDescent="0.2">
      <c r="A249" s="1" t="s">
        <v>425</v>
      </c>
      <c r="B249" s="1" t="s">
        <v>109</v>
      </c>
      <c r="C249" s="1" t="s">
        <v>9</v>
      </c>
      <c r="D249" s="2">
        <v>2077</v>
      </c>
      <c r="E249" s="1" t="s">
        <v>369</v>
      </c>
      <c r="F249" s="4">
        <v>2750691</v>
      </c>
      <c r="G249" s="4">
        <v>1230564</v>
      </c>
      <c r="H249" s="2">
        <v>0</v>
      </c>
      <c r="I249" s="5">
        <v>1</v>
      </c>
      <c r="J249" s="5">
        <v>0</v>
      </c>
      <c r="K249" s="11" t="str">
        <f>HYPERLINK("https://www.geoportal.ch/ktsg/map/34?y=2750691&amp;x=1230564&amp;scale=2500&amp;topic=coord&amp;highlight=1&amp;label=Standort|Feuerverbotsplakat","Karte")</f>
        <v>Karte</v>
      </c>
    </row>
    <row r="250" spans="1:11" x14ac:dyDescent="0.2">
      <c r="A250" s="6" t="s">
        <v>425</v>
      </c>
      <c r="B250" s="6" t="s">
        <v>109</v>
      </c>
      <c r="C250" s="6" t="s">
        <v>9</v>
      </c>
      <c r="D250" s="2">
        <v>2078</v>
      </c>
      <c r="E250" s="1" t="s">
        <v>913</v>
      </c>
      <c r="F250" s="4">
        <v>2750627</v>
      </c>
      <c r="G250" s="4">
        <v>1231639</v>
      </c>
      <c r="H250" s="2">
        <v>0</v>
      </c>
      <c r="I250" s="5">
        <v>1</v>
      </c>
      <c r="J250" s="5">
        <v>0</v>
      </c>
      <c r="K250" s="11" t="str">
        <f>HYPERLINK("https://www.geoportal.ch/ktsg/map/34?y=2750627&amp;x=1231639&amp;scale=2500&amp;topic=coord&amp;highlight=1&amp;label=Standort|Feuerverbotsplakat","Karte")</f>
        <v>Karte</v>
      </c>
    </row>
    <row r="251" spans="1:11" x14ac:dyDescent="0.2">
      <c r="A251" s="1" t="s">
        <v>425</v>
      </c>
      <c r="B251" s="1" t="s">
        <v>109</v>
      </c>
      <c r="C251" s="1" t="s">
        <v>9</v>
      </c>
      <c r="D251" s="2">
        <v>2079</v>
      </c>
      <c r="E251" s="1" t="s">
        <v>368</v>
      </c>
      <c r="F251" s="4">
        <v>2749967</v>
      </c>
      <c r="G251" s="4">
        <v>1231187</v>
      </c>
      <c r="H251" s="2">
        <v>0</v>
      </c>
      <c r="I251" s="5">
        <v>1</v>
      </c>
      <c r="J251" s="5">
        <v>0</v>
      </c>
      <c r="K251" s="11" t="str">
        <f>HYPERLINK("https://www.geoportal.ch/ktsg/map/34?y=2749967&amp;x=1231187&amp;scale=2500&amp;topic=coord&amp;highlight=1&amp;label=Standort|Feuerverbotsplakat","Karte")</f>
        <v>Karte</v>
      </c>
    </row>
    <row r="252" spans="1:11" x14ac:dyDescent="0.2">
      <c r="A252" s="1" t="s">
        <v>425</v>
      </c>
      <c r="B252" s="1" t="s">
        <v>109</v>
      </c>
      <c r="C252" s="1" t="s">
        <v>9</v>
      </c>
      <c r="D252" s="2">
        <v>2080</v>
      </c>
      <c r="E252" s="1" t="s">
        <v>367</v>
      </c>
      <c r="F252" s="4">
        <v>2749424</v>
      </c>
      <c r="G252" s="4">
        <v>1231251</v>
      </c>
      <c r="H252" s="2">
        <v>0</v>
      </c>
      <c r="I252" s="5">
        <v>1</v>
      </c>
      <c r="J252" s="5">
        <v>0</v>
      </c>
      <c r="K252" s="11" t="str">
        <f>HYPERLINK("https://www.geoportal.ch/ktsg/map/34?y=2749424&amp;x=1231251&amp;scale=2500&amp;topic=coord&amp;highlight=1&amp;label=Standort|Feuerverbotsplakat","Karte")</f>
        <v>Karte</v>
      </c>
    </row>
    <row r="253" spans="1:11" x14ac:dyDescent="0.2">
      <c r="A253" s="1" t="s">
        <v>425</v>
      </c>
      <c r="B253" s="1" t="s">
        <v>109</v>
      </c>
      <c r="C253" s="1" t="s">
        <v>9</v>
      </c>
      <c r="D253" s="2">
        <v>2081</v>
      </c>
      <c r="E253" s="1" t="s">
        <v>914</v>
      </c>
      <c r="F253" s="4">
        <v>2750616</v>
      </c>
      <c r="G253" s="4">
        <v>1231677</v>
      </c>
      <c r="H253" s="2">
        <v>0</v>
      </c>
      <c r="I253" s="5">
        <v>1</v>
      </c>
      <c r="J253" s="5">
        <v>0</v>
      </c>
      <c r="K253" s="11" t="str">
        <f>HYPERLINK("https://www.geoportal.ch/ktsg/map/34?y=2750616&amp;x=1231677&amp;scale=2500&amp;topic=coord&amp;highlight=1&amp;label=Standort|Feuerverbotsplakat","Karte")</f>
        <v>Karte</v>
      </c>
    </row>
    <row r="254" spans="1:11" x14ac:dyDescent="0.2">
      <c r="A254" s="1" t="s">
        <v>425</v>
      </c>
      <c r="B254" s="1" t="s">
        <v>109</v>
      </c>
      <c r="C254" s="1" t="s">
        <v>9</v>
      </c>
      <c r="D254" s="2">
        <v>2082</v>
      </c>
      <c r="E254" s="1" t="s">
        <v>473</v>
      </c>
      <c r="F254" s="4">
        <v>2750054</v>
      </c>
      <c r="G254" s="4">
        <v>1231931</v>
      </c>
      <c r="H254" s="2">
        <v>0</v>
      </c>
      <c r="I254" s="5">
        <v>1</v>
      </c>
      <c r="J254" s="5">
        <v>0</v>
      </c>
      <c r="K254" s="11" t="str">
        <f>HYPERLINK("https://www.geoportal.ch/ktsg/map/34?y=2750054&amp;x=1231931&amp;scale=2500&amp;topic=coord&amp;highlight=1&amp;label=Standort|Feuerverbotsplakat","Karte")</f>
        <v>Karte</v>
      </c>
    </row>
    <row r="255" spans="1:11" x14ac:dyDescent="0.2">
      <c r="A255" s="1" t="s">
        <v>425</v>
      </c>
      <c r="B255" s="1" t="s">
        <v>109</v>
      </c>
      <c r="C255" s="1" t="s">
        <v>9</v>
      </c>
      <c r="D255" s="2">
        <v>2083</v>
      </c>
      <c r="E255" s="1" t="s">
        <v>366</v>
      </c>
      <c r="F255" s="4">
        <v>2750757</v>
      </c>
      <c r="G255" s="4">
        <v>1232804</v>
      </c>
      <c r="H255" s="2">
        <v>0</v>
      </c>
      <c r="I255" s="5">
        <v>1</v>
      </c>
      <c r="J255" s="5">
        <v>0</v>
      </c>
      <c r="K255" s="11" t="str">
        <f>HYPERLINK("https://www.geoportal.ch/ktsg/map/34?y=2750757&amp;x=1232804&amp;scale=2500&amp;topic=coord&amp;highlight=1&amp;label=Standort|Feuerverbotsplakat","Karte")</f>
        <v>Karte</v>
      </c>
    </row>
    <row r="256" spans="1:11" x14ac:dyDescent="0.2">
      <c r="A256" s="1" t="s">
        <v>425</v>
      </c>
      <c r="B256" s="1" t="s">
        <v>109</v>
      </c>
      <c r="C256" s="1" t="s">
        <v>9</v>
      </c>
      <c r="D256" s="2">
        <v>2084</v>
      </c>
      <c r="E256" s="1" t="s">
        <v>474</v>
      </c>
      <c r="F256" s="4">
        <v>2750563</v>
      </c>
      <c r="G256" s="4">
        <v>1232432</v>
      </c>
      <c r="H256" s="2">
        <v>0</v>
      </c>
      <c r="I256" s="5">
        <v>1</v>
      </c>
      <c r="J256" s="5">
        <v>0</v>
      </c>
      <c r="K256" s="11" t="str">
        <f>HYPERLINK("https://www.geoportal.ch/ktsg/map/34?y=2750563&amp;x=1232432&amp;scale=2500&amp;topic=coord&amp;highlight=1&amp;label=Standort|Feuerverbotsplakat","Karte")</f>
        <v>Karte</v>
      </c>
    </row>
    <row r="257" spans="1:11" x14ac:dyDescent="0.2">
      <c r="A257" s="1" t="s">
        <v>425</v>
      </c>
      <c r="B257" s="1" t="s">
        <v>109</v>
      </c>
      <c r="C257" s="1" t="s">
        <v>9</v>
      </c>
      <c r="D257" s="2">
        <v>2085</v>
      </c>
      <c r="E257" s="1" t="s">
        <v>800</v>
      </c>
      <c r="F257" s="4">
        <v>2750179</v>
      </c>
      <c r="G257" s="4">
        <v>1229345</v>
      </c>
      <c r="H257" s="2">
        <v>0</v>
      </c>
      <c r="I257" s="5">
        <v>1</v>
      </c>
      <c r="J257" s="5">
        <v>0</v>
      </c>
      <c r="K257" s="11" t="str">
        <f>HYPERLINK("https://www.geoportal.ch/ktsg/map/34?y=2750179&amp;x=1229345&amp;scale=2500&amp;topic=coord&amp;highlight=1&amp;label=Standort|Feuerverbotsplakat","Karte")</f>
        <v>Karte</v>
      </c>
    </row>
    <row r="258" spans="1:11" x14ac:dyDescent="0.2">
      <c r="A258" s="1" t="s">
        <v>425</v>
      </c>
      <c r="B258" s="1" t="s">
        <v>109</v>
      </c>
      <c r="C258" s="1" t="s">
        <v>9</v>
      </c>
      <c r="D258" s="2">
        <v>2086</v>
      </c>
      <c r="E258" s="1" t="s">
        <v>590</v>
      </c>
      <c r="F258" s="4">
        <v>2750072</v>
      </c>
      <c r="G258" s="4">
        <v>1229299</v>
      </c>
      <c r="H258" s="2">
        <v>0</v>
      </c>
      <c r="I258" s="5">
        <v>1</v>
      </c>
      <c r="J258" s="5">
        <v>0</v>
      </c>
      <c r="K258" s="11" t="str">
        <f>HYPERLINK("https://www.geoportal.ch/ktsg/map/34?y=2750072&amp;x=1229299&amp;scale=2500&amp;topic=coord&amp;highlight=1&amp;label=Standort|Feuerverbotsplakat","Karte")</f>
        <v>Karte</v>
      </c>
    </row>
    <row r="259" spans="1:11" x14ac:dyDescent="0.2">
      <c r="A259" s="1" t="s">
        <v>425</v>
      </c>
      <c r="B259" s="1" t="s">
        <v>109</v>
      </c>
      <c r="C259" s="1" t="s">
        <v>9</v>
      </c>
      <c r="D259" s="2">
        <v>2087</v>
      </c>
      <c r="E259" s="1" t="s">
        <v>237</v>
      </c>
      <c r="F259" s="4">
        <v>2749619</v>
      </c>
      <c r="G259" s="4">
        <v>1229260</v>
      </c>
      <c r="H259" s="2">
        <v>0</v>
      </c>
      <c r="I259" s="5">
        <v>1</v>
      </c>
      <c r="J259" s="5">
        <v>0</v>
      </c>
      <c r="K259" s="11" t="str">
        <f>HYPERLINK("https://www.geoportal.ch/ktsg/map/34?y=2749619&amp;x=1229260&amp;scale=2500&amp;topic=coord&amp;highlight=1&amp;label=Standort|Feuerverbotsplakat","Karte")</f>
        <v>Karte</v>
      </c>
    </row>
    <row r="260" spans="1:11" x14ac:dyDescent="0.2">
      <c r="A260" s="1" t="s">
        <v>425</v>
      </c>
      <c r="B260" s="1" t="s">
        <v>109</v>
      </c>
      <c r="C260" s="1" t="s">
        <v>9</v>
      </c>
      <c r="D260" s="2">
        <v>2088</v>
      </c>
      <c r="E260" s="1" t="s">
        <v>365</v>
      </c>
      <c r="F260" s="4">
        <v>2749653</v>
      </c>
      <c r="G260" s="4">
        <v>1229725</v>
      </c>
      <c r="H260" s="2">
        <v>0</v>
      </c>
      <c r="I260" s="5">
        <v>1</v>
      </c>
      <c r="J260" s="5">
        <v>0</v>
      </c>
      <c r="K260" s="11" t="str">
        <f>HYPERLINK("https://www.geoportal.ch/ktsg/map/34?y=2749653&amp;x=1229725&amp;scale=2500&amp;topic=coord&amp;highlight=1&amp;label=Standort|Feuerverbotsplakat","Karte")</f>
        <v>Karte</v>
      </c>
    </row>
    <row r="261" spans="1:11" x14ac:dyDescent="0.2">
      <c r="A261" s="1" t="s">
        <v>425</v>
      </c>
      <c r="B261" s="1" t="s">
        <v>109</v>
      </c>
      <c r="C261" s="1" t="s">
        <v>9</v>
      </c>
      <c r="D261" s="2">
        <v>2089</v>
      </c>
      <c r="E261" s="1" t="s">
        <v>475</v>
      </c>
      <c r="F261" s="4">
        <v>2748883</v>
      </c>
      <c r="G261" s="4">
        <v>1229538</v>
      </c>
      <c r="H261" s="2">
        <v>0</v>
      </c>
      <c r="I261" s="5">
        <v>1</v>
      </c>
      <c r="J261" s="5">
        <v>0</v>
      </c>
      <c r="K261" s="11" t="str">
        <f>HYPERLINK("https://www.geoportal.ch/ktsg/map/34?y=2748883&amp;x=1229538&amp;scale=2500&amp;topic=coord&amp;highlight=1&amp;label=Standort|Feuerverbotsplakat","Karte")</f>
        <v>Karte</v>
      </c>
    </row>
    <row r="262" spans="1:11" x14ac:dyDescent="0.2">
      <c r="A262" s="1" t="s">
        <v>425</v>
      </c>
      <c r="B262" s="1" t="s">
        <v>109</v>
      </c>
      <c r="C262" s="1" t="s">
        <v>9</v>
      </c>
      <c r="D262" s="2">
        <v>2090</v>
      </c>
      <c r="E262" s="1" t="s">
        <v>801</v>
      </c>
      <c r="F262" s="4">
        <v>2750818</v>
      </c>
      <c r="G262" s="4">
        <v>1228896</v>
      </c>
      <c r="H262" s="2">
        <v>0</v>
      </c>
      <c r="I262" s="5">
        <v>1</v>
      </c>
      <c r="J262" s="5">
        <v>0</v>
      </c>
      <c r="K262" s="11" t="str">
        <f>HYPERLINK("https://www.geoportal.ch/ktsg/map/34?y=2750818&amp;x=1228896&amp;scale=2500&amp;topic=coord&amp;highlight=1&amp;label=Standort|Feuerverbotsplakat","Karte")</f>
        <v>Karte</v>
      </c>
    </row>
    <row r="263" spans="1:11" x14ac:dyDescent="0.2">
      <c r="A263" s="1" t="s">
        <v>425</v>
      </c>
      <c r="B263" s="1" t="s">
        <v>109</v>
      </c>
      <c r="C263" s="1" t="s">
        <v>9</v>
      </c>
      <c r="D263" s="2">
        <v>2091</v>
      </c>
      <c r="E263" s="1" t="s">
        <v>476</v>
      </c>
      <c r="F263" s="4">
        <v>2750626</v>
      </c>
      <c r="G263" s="4">
        <v>1229171</v>
      </c>
      <c r="H263" s="2">
        <v>0</v>
      </c>
      <c r="I263" s="5">
        <v>1</v>
      </c>
      <c r="J263" s="5">
        <v>0</v>
      </c>
      <c r="K263" s="11" t="str">
        <f>HYPERLINK("https://www.geoportal.ch/ktsg/map/34?y=2750626&amp;x=1229171&amp;scale=2500&amp;topic=coord&amp;highlight=1&amp;label=Standort|Feuerverbotsplakat","Karte")</f>
        <v>Karte</v>
      </c>
    </row>
    <row r="264" spans="1:11" x14ac:dyDescent="0.2">
      <c r="A264" s="1" t="s">
        <v>425</v>
      </c>
      <c r="B264" s="1" t="s">
        <v>109</v>
      </c>
      <c r="C264" s="1" t="s">
        <v>9</v>
      </c>
      <c r="D264" s="2">
        <v>2092</v>
      </c>
      <c r="E264" s="1" t="s">
        <v>477</v>
      </c>
      <c r="F264" s="4">
        <v>2749000</v>
      </c>
      <c r="G264" s="4">
        <v>1229782</v>
      </c>
      <c r="H264" s="2">
        <v>0</v>
      </c>
      <c r="I264" s="5">
        <v>1</v>
      </c>
      <c r="J264" s="5">
        <v>0</v>
      </c>
      <c r="K264" s="11" t="str">
        <f>HYPERLINK("https://www.geoportal.ch/ktsg/map/34?y=2749000&amp;x=1229782&amp;scale=2500&amp;topic=coord&amp;highlight=1&amp;label=Standort|Feuerverbotsplakat","Karte")</f>
        <v>Karte</v>
      </c>
    </row>
    <row r="265" spans="1:11" x14ac:dyDescent="0.2">
      <c r="A265" s="1" t="s">
        <v>425</v>
      </c>
      <c r="B265" s="1" t="s">
        <v>109</v>
      </c>
      <c r="C265" s="1" t="s">
        <v>9</v>
      </c>
      <c r="D265" s="2">
        <v>2093</v>
      </c>
      <c r="E265" s="1" t="s">
        <v>478</v>
      </c>
      <c r="F265" s="4">
        <v>2750094</v>
      </c>
      <c r="G265" s="4">
        <v>1230763</v>
      </c>
      <c r="H265" s="2">
        <v>0</v>
      </c>
      <c r="I265" s="5">
        <v>1</v>
      </c>
      <c r="J265" s="5">
        <v>0</v>
      </c>
      <c r="K265" s="11" t="str">
        <f>HYPERLINK("https://www.geoportal.ch/ktsg/map/34?y=2750094&amp;x=1230763&amp;scale=2500&amp;topic=coord&amp;highlight=1&amp;label=Standort|Feuerverbotsplakat","Karte")</f>
        <v>Karte</v>
      </c>
    </row>
    <row r="266" spans="1:11" x14ac:dyDescent="0.2">
      <c r="A266" s="1" t="s">
        <v>425</v>
      </c>
      <c r="B266" s="1" t="s">
        <v>109</v>
      </c>
      <c r="C266" s="1" t="s">
        <v>9</v>
      </c>
      <c r="D266" s="2">
        <v>2094</v>
      </c>
      <c r="E266" s="1" t="s">
        <v>479</v>
      </c>
      <c r="F266" s="4">
        <v>2751652</v>
      </c>
      <c r="G266" s="4">
        <v>1232368</v>
      </c>
      <c r="H266" s="2">
        <v>0</v>
      </c>
      <c r="I266" s="5">
        <v>1</v>
      </c>
      <c r="J266" s="5">
        <v>0</v>
      </c>
      <c r="K266" s="11" t="str">
        <f>HYPERLINK("https://www.geoportal.ch/ktsg/map/34?y=2751652&amp;x=1232368&amp;scale=2500&amp;topic=coord&amp;highlight=1&amp;label=Standort|Feuerverbotsplakat","Karte")</f>
        <v>Karte</v>
      </c>
    </row>
    <row r="267" spans="1:11" x14ac:dyDescent="0.2">
      <c r="A267" s="1" t="s">
        <v>425</v>
      </c>
      <c r="B267" s="1" t="s">
        <v>110</v>
      </c>
      <c r="C267" s="1" t="s">
        <v>9</v>
      </c>
      <c r="D267" s="2">
        <v>2095</v>
      </c>
      <c r="E267" s="1" t="s">
        <v>418</v>
      </c>
      <c r="F267" s="4">
        <v>2752036</v>
      </c>
      <c r="G267" s="4">
        <v>1227520</v>
      </c>
      <c r="H267" s="2">
        <v>0</v>
      </c>
      <c r="I267" s="5">
        <v>1</v>
      </c>
      <c r="J267" s="5">
        <v>0</v>
      </c>
      <c r="K267" s="11" t="str">
        <f>HYPERLINK("https://www.geoportal.ch/ktsg/map/34?y=2752036&amp;x=1227520&amp;scale=2500&amp;topic=coord&amp;highlight=1&amp;label=Standort|Feuerverbotsplakat","Karte")</f>
        <v>Karte</v>
      </c>
    </row>
    <row r="268" spans="1:11" x14ac:dyDescent="0.2">
      <c r="A268" s="1" t="s">
        <v>425</v>
      </c>
      <c r="B268" s="1" t="s">
        <v>110</v>
      </c>
      <c r="C268" s="1" t="s">
        <v>9</v>
      </c>
      <c r="D268" s="2">
        <v>2096</v>
      </c>
      <c r="E268" s="1" t="s">
        <v>384</v>
      </c>
      <c r="F268" s="4">
        <v>2752990</v>
      </c>
      <c r="G268" s="4">
        <v>1225921</v>
      </c>
      <c r="H268" s="2">
        <v>0</v>
      </c>
      <c r="I268" s="5">
        <v>1</v>
      </c>
      <c r="J268" s="5">
        <v>0</v>
      </c>
      <c r="K268" s="11" t="str">
        <f>HYPERLINK("https://www.geoportal.ch/ktsg/map/34?y=2752990&amp;x=1225921&amp;scale=2500&amp;topic=coord&amp;highlight=1&amp;label=Standort|Feuerverbotsplakat","Karte")</f>
        <v>Karte</v>
      </c>
    </row>
    <row r="269" spans="1:11" x14ac:dyDescent="0.2">
      <c r="A269" s="1" t="s">
        <v>425</v>
      </c>
      <c r="B269" s="1" t="s">
        <v>110</v>
      </c>
      <c r="C269" s="1" t="s">
        <v>9</v>
      </c>
      <c r="D269" s="2">
        <v>2097</v>
      </c>
      <c r="E269" s="1" t="s">
        <v>383</v>
      </c>
      <c r="F269" s="4">
        <v>2752838</v>
      </c>
      <c r="G269" s="4">
        <v>1225637</v>
      </c>
      <c r="H269" s="2">
        <v>0</v>
      </c>
      <c r="I269" s="5">
        <v>1</v>
      </c>
      <c r="J269" s="5">
        <v>0</v>
      </c>
      <c r="K269" s="11" t="str">
        <f>HYPERLINK("https://www.geoportal.ch/ktsg/map/34?y=2752838&amp;x=1225637&amp;scale=2500&amp;topic=coord&amp;highlight=1&amp;label=Standort|Feuerverbotsplakat","Karte")</f>
        <v>Karte</v>
      </c>
    </row>
    <row r="270" spans="1:11" x14ac:dyDescent="0.2">
      <c r="A270" s="1" t="s">
        <v>425</v>
      </c>
      <c r="B270" s="1" t="s">
        <v>110</v>
      </c>
      <c r="C270" s="1" t="s">
        <v>9</v>
      </c>
      <c r="D270" s="2">
        <v>2098</v>
      </c>
      <c r="E270" s="1" t="s">
        <v>382</v>
      </c>
      <c r="F270" s="4">
        <v>2747512</v>
      </c>
      <c r="G270" s="4">
        <v>1226402</v>
      </c>
      <c r="H270" s="2">
        <v>0</v>
      </c>
      <c r="I270" s="5">
        <v>1</v>
      </c>
      <c r="J270" s="5">
        <v>0</v>
      </c>
      <c r="K270" s="11" t="str">
        <f>HYPERLINK("https://www.geoportal.ch/ktsg/map/34?y=2747512&amp;x=1226402&amp;scale=2500&amp;topic=coord&amp;highlight=1&amp;label=Standort|Feuerverbotsplakat","Karte")</f>
        <v>Karte</v>
      </c>
    </row>
    <row r="271" spans="1:11" x14ac:dyDescent="0.2">
      <c r="A271" s="1" t="s">
        <v>425</v>
      </c>
      <c r="B271" s="1" t="s">
        <v>110</v>
      </c>
      <c r="C271" s="1" t="s">
        <v>9</v>
      </c>
      <c r="D271" s="2">
        <v>2099</v>
      </c>
      <c r="E271" s="1" t="s">
        <v>381</v>
      </c>
      <c r="F271" s="4">
        <v>2747107</v>
      </c>
      <c r="G271" s="4">
        <v>1226299</v>
      </c>
      <c r="H271" s="2">
        <v>0</v>
      </c>
      <c r="I271" s="5">
        <v>1</v>
      </c>
      <c r="J271" s="5">
        <v>0</v>
      </c>
      <c r="K271" s="11" t="str">
        <f>HYPERLINK("https://www.geoportal.ch/ktsg/map/34?y=2747107&amp;x=1226299&amp;scale=2500&amp;topic=coord&amp;highlight=1&amp;label=Standort|Feuerverbotsplakat","Karte")</f>
        <v>Karte</v>
      </c>
    </row>
    <row r="272" spans="1:11" x14ac:dyDescent="0.2">
      <c r="A272" s="1" t="s">
        <v>425</v>
      </c>
      <c r="B272" s="1" t="s">
        <v>110</v>
      </c>
      <c r="C272" s="1" t="s">
        <v>9</v>
      </c>
      <c r="D272" s="2">
        <v>2100</v>
      </c>
      <c r="E272" s="1" t="s">
        <v>380</v>
      </c>
      <c r="F272" s="4">
        <v>2747033</v>
      </c>
      <c r="G272" s="4">
        <v>1226223</v>
      </c>
      <c r="H272" s="2">
        <v>0</v>
      </c>
      <c r="I272" s="5">
        <v>1</v>
      </c>
      <c r="J272" s="5">
        <v>0</v>
      </c>
      <c r="K272" s="11" t="str">
        <f>HYPERLINK("https://www.geoportal.ch/ktsg/map/34?y=2747033&amp;x=1226223&amp;scale=2500&amp;topic=coord&amp;highlight=1&amp;label=Standort|Feuerverbotsplakat","Karte")</f>
        <v>Karte</v>
      </c>
    </row>
    <row r="273" spans="1:11" x14ac:dyDescent="0.2">
      <c r="A273" s="1" t="s">
        <v>425</v>
      </c>
      <c r="B273" s="1" t="s">
        <v>110</v>
      </c>
      <c r="C273" s="1" t="s">
        <v>9</v>
      </c>
      <c r="D273" s="2">
        <v>2101</v>
      </c>
      <c r="E273" s="1" t="s">
        <v>379</v>
      </c>
      <c r="F273" s="4">
        <v>2747138</v>
      </c>
      <c r="G273" s="4">
        <v>1226191</v>
      </c>
      <c r="H273" s="2">
        <v>0</v>
      </c>
      <c r="I273" s="5">
        <v>1</v>
      </c>
      <c r="J273" s="5">
        <v>0</v>
      </c>
      <c r="K273" s="11" t="str">
        <f>HYPERLINK("https://www.geoportal.ch/ktsg/map/34?y=2747138&amp;x=1226191&amp;scale=2500&amp;topic=coord&amp;highlight=1&amp;label=Standort|Feuerverbotsplakat","Karte")</f>
        <v>Karte</v>
      </c>
    </row>
    <row r="274" spans="1:11" x14ac:dyDescent="0.2">
      <c r="A274" s="1" t="s">
        <v>425</v>
      </c>
      <c r="B274" s="1" t="s">
        <v>110</v>
      </c>
      <c r="C274" s="1" t="s">
        <v>9</v>
      </c>
      <c r="D274" s="2">
        <v>2102</v>
      </c>
      <c r="E274" s="1" t="s">
        <v>378</v>
      </c>
      <c r="F274" s="4">
        <v>2746995</v>
      </c>
      <c r="G274" s="4">
        <v>1225294</v>
      </c>
      <c r="H274" s="2">
        <v>0</v>
      </c>
      <c r="I274" s="5">
        <v>1</v>
      </c>
      <c r="J274" s="5">
        <v>0</v>
      </c>
      <c r="K274" s="11" t="str">
        <f>HYPERLINK("https://www.geoportal.ch/ktsg/map/34?y=2746995&amp;x=1225294&amp;scale=2500&amp;topic=coord&amp;highlight=1&amp;label=Standort|Feuerverbotsplakat","Karte")</f>
        <v>Karte</v>
      </c>
    </row>
    <row r="275" spans="1:11" x14ac:dyDescent="0.2">
      <c r="A275" s="1" t="s">
        <v>425</v>
      </c>
      <c r="B275" s="1" t="s">
        <v>110</v>
      </c>
      <c r="C275" s="1" t="s">
        <v>9</v>
      </c>
      <c r="D275" s="2">
        <v>2103</v>
      </c>
      <c r="E275" s="1" t="s">
        <v>377</v>
      </c>
      <c r="F275" s="4">
        <v>2747024</v>
      </c>
      <c r="G275" s="4">
        <v>1225322</v>
      </c>
      <c r="H275" s="2">
        <v>0</v>
      </c>
      <c r="I275" s="5">
        <v>1</v>
      </c>
      <c r="J275" s="5">
        <v>0</v>
      </c>
      <c r="K275" s="11" t="str">
        <f>HYPERLINK("https://www.geoportal.ch/ktsg/map/34?y=2747024&amp;x=1225322&amp;scale=2500&amp;topic=coord&amp;highlight=1&amp;label=Standort|Feuerverbotsplakat","Karte")</f>
        <v>Karte</v>
      </c>
    </row>
    <row r="276" spans="1:11" x14ac:dyDescent="0.2">
      <c r="A276" s="1" t="s">
        <v>425</v>
      </c>
      <c r="B276" s="1" t="s">
        <v>110</v>
      </c>
      <c r="C276" s="1" t="s">
        <v>9</v>
      </c>
      <c r="D276" s="2">
        <v>2104</v>
      </c>
      <c r="E276" s="1" t="s">
        <v>376</v>
      </c>
      <c r="F276" s="4">
        <v>2747456</v>
      </c>
      <c r="G276" s="4">
        <v>1225568</v>
      </c>
      <c r="H276" s="2">
        <v>0</v>
      </c>
      <c r="I276" s="5">
        <v>1</v>
      </c>
      <c r="J276" s="5">
        <v>0</v>
      </c>
      <c r="K276" s="11" t="str">
        <f>HYPERLINK("https://www.geoportal.ch/ktsg/map/34?y=2747456&amp;x=1225568&amp;scale=2500&amp;topic=coord&amp;highlight=1&amp;label=Standort|Feuerverbotsplakat","Karte")</f>
        <v>Karte</v>
      </c>
    </row>
    <row r="277" spans="1:11" x14ac:dyDescent="0.2">
      <c r="A277" s="1" t="s">
        <v>425</v>
      </c>
      <c r="B277" s="1" t="s">
        <v>110</v>
      </c>
      <c r="C277" s="1" t="s">
        <v>9</v>
      </c>
      <c r="D277" s="2">
        <v>2105</v>
      </c>
      <c r="E277" s="1" t="s">
        <v>375</v>
      </c>
      <c r="F277" s="4">
        <v>2747185</v>
      </c>
      <c r="G277" s="4">
        <v>1225318</v>
      </c>
      <c r="H277" s="2">
        <v>0</v>
      </c>
      <c r="I277" s="5">
        <v>1</v>
      </c>
      <c r="J277" s="5">
        <v>0</v>
      </c>
      <c r="K277" s="11" t="str">
        <f>HYPERLINK("https://www.geoportal.ch/ktsg/map/34?y=2747185&amp;x=1225318&amp;scale=2500&amp;topic=coord&amp;highlight=1&amp;label=Standort|Feuerverbotsplakat","Karte")</f>
        <v>Karte</v>
      </c>
    </row>
    <row r="278" spans="1:11" x14ac:dyDescent="0.2">
      <c r="A278" s="1" t="s">
        <v>425</v>
      </c>
      <c r="B278" s="1" t="s">
        <v>110</v>
      </c>
      <c r="C278" s="1" t="s">
        <v>9</v>
      </c>
      <c r="D278" s="2">
        <v>2106</v>
      </c>
      <c r="E278" s="1" t="s">
        <v>374</v>
      </c>
      <c r="F278" s="4">
        <v>2747246</v>
      </c>
      <c r="G278" s="4">
        <v>1224929</v>
      </c>
      <c r="H278" s="2">
        <v>0</v>
      </c>
      <c r="I278" s="5">
        <v>1</v>
      </c>
      <c r="J278" s="5">
        <v>0</v>
      </c>
      <c r="K278" s="11" t="str">
        <f>HYPERLINK("https://www.geoportal.ch/ktsg/map/34?y=2747246&amp;x=1224929&amp;scale=2500&amp;topic=coord&amp;highlight=1&amp;label=Standort|Feuerverbotsplakat","Karte")</f>
        <v>Karte</v>
      </c>
    </row>
    <row r="279" spans="1:11" x14ac:dyDescent="0.2">
      <c r="A279" s="1" t="s">
        <v>425</v>
      </c>
      <c r="B279" s="1" t="s">
        <v>110</v>
      </c>
      <c r="C279" s="1" t="s">
        <v>9</v>
      </c>
      <c r="D279" s="2">
        <v>2107</v>
      </c>
      <c r="E279" s="1" t="s">
        <v>627</v>
      </c>
      <c r="F279" s="4">
        <v>2747938</v>
      </c>
      <c r="G279" s="4">
        <v>1225699</v>
      </c>
      <c r="H279" s="2">
        <v>0</v>
      </c>
      <c r="I279" s="5">
        <v>1</v>
      </c>
      <c r="J279" s="5">
        <v>0</v>
      </c>
      <c r="K279" s="11" t="str">
        <f>HYPERLINK("https://www.geoportal.ch/ktsg/map/34?y=2747938&amp;x=1225699&amp;scale=2500&amp;topic=coord&amp;highlight=1&amp;label=Standort|Feuerverbotsplakat","Karte")</f>
        <v>Karte</v>
      </c>
    </row>
    <row r="280" spans="1:11" x14ac:dyDescent="0.2">
      <c r="A280" s="1" t="s">
        <v>425</v>
      </c>
      <c r="B280" s="1" t="s">
        <v>110</v>
      </c>
      <c r="C280" s="1" t="s">
        <v>9</v>
      </c>
      <c r="D280" s="2">
        <v>2108</v>
      </c>
      <c r="E280" s="1" t="s">
        <v>373</v>
      </c>
      <c r="F280" s="4">
        <v>2747815</v>
      </c>
      <c r="G280" s="4">
        <v>1225225</v>
      </c>
      <c r="H280" s="2">
        <v>0</v>
      </c>
      <c r="I280" s="5">
        <v>1</v>
      </c>
      <c r="J280" s="5">
        <v>0</v>
      </c>
      <c r="K280" s="11" t="str">
        <f>HYPERLINK("https://www.geoportal.ch/ktsg/map/34?y=2747815&amp;x=1225225&amp;scale=2500&amp;topic=coord&amp;highlight=1&amp;label=Standort|Feuerverbotsplakat","Karte")</f>
        <v>Karte</v>
      </c>
    </row>
    <row r="281" spans="1:11" x14ac:dyDescent="0.2">
      <c r="A281" s="1" t="s">
        <v>425</v>
      </c>
      <c r="B281" s="1" t="s">
        <v>110</v>
      </c>
      <c r="C281" s="1" t="s">
        <v>9</v>
      </c>
      <c r="D281" s="2">
        <v>2109</v>
      </c>
      <c r="E281" s="1" t="s">
        <v>372</v>
      </c>
      <c r="F281" s="4">
        <v>2748790</v>
      </c>
      <c r="G281" s="4">
        <v>1226106</v>
      </c>
      <c r="H281" s="2">
        <v>0</v>
      </c>
      <c r="I281" s="5">
        <v>1</v>
      </c>
      <c r="J281" s="5">
        <v>0</v>
      </c>
      <c r="K281" s="11" t="str">
        <f>HYPERLINK("https://www.geoportal.ch/ktsg/map/34?y=2748790&amp;x=1226106&amp;scale=2500&amp;topic=coord&amp;highlight=1&amp;label=Standort|Feuerverbotsplakat","Karte")</f>
        <v>Karte</v>
      </c>
    </row>
    <row r="282" spans="1:11" x14ac:dyDescent="0.2">
      <c r="A282" s="1" t="s">
        <v>425</v>
      </c>
      <c r="B282" s="1" t="s">
        <v>110</v>
      </c>
      <c r="C282" s="1" t="s">
        <v>9</v>
      </c>
      <c r="D282" s="2">
        <v>2110</v>
      </c>
      <c r="E282" s="1" t="s">
        <v>628</v>
      </c>
      <c r="F282" s="4">
        <v>2749022</v>
      </c>
      <c r="G282" s="4">
        <v>1226233</v>
      </c>
      <c r="H282" s="2">
        <v>0</v>
      </c>
      <c r="I282" s="5">
        <v>1</v>
      </c>
      <c r="J282" s="5">
        <v>0</v>
      </c>
      <c r="K282" s="11" t="str">
        <f>HYPERLINK("https://www.geoportal.ch/ktsg/map/34?y=2749022&amp;x=1226233&amp;scale=2500&amp;topic=coord&amp;highlight=1&amp;label=Standort|Feuerverbotsplakat","Karte")</f>
        <v>Karte</v>
      </c>
    </row>
    <row r="283" spans="1:11" x14ac:dyDescent="0.2">
      <c r="A283" s="1" t="s">
        <v>425</v>
      </c>
      <c r="B283" s="1" t="s">
        <v>110</v>
      </c>
      <c r="C283" s="1" t="s">
        <v>9</v>
      </c>
      <c r="D283" s="2">
        <v>2111</v>
      </c>
      <c r="E283" s="1" t="s">
        <v>802</v>
      </c>
      <c r="F283" s="4">
        <v>2747756</v>
      </c>
      <c r="G283" s="4">
        <v>1228948</v>
      </c>
      <c r="H283" s="2">
        <v>0</v>
      </c>
      <c r="I283" s="5">
        <v>1</v>
      </c>
      <c r="J283" s="5">
        <v>0</v>
      </c>
      <c r="K283" s="11" t="str">
        <f>HYPERLINK("https://www.geoportal.ch/ktsg/map/34?y=2747756&amp;x=1228948&amp;scale=2500&amp;topic=coord&amp;highlight=1&amp;label=Standort|Feuerverbotsplakat","Karte")</f>
        <v>Karte</v>
      </c>
    </row>
    <row r="284" spans="1:11" x14ac:dyDescent="0.2">
      <c r="A284" s="1" t="s">
        <v>425</v>
      </c>
      <c r="B284" s="1" t="s">
        <v>110</v>
      </c>
      <c r="C284" s="1" t="s">
        <v>9</v>
      </c>
      <c r="D284" s="2">
        <v>2112</v>
      </c>
      <c r="E284" s="1" t="s">
        <v>371</v>
      </c>
      <c r="F284" s="4">
        <v>2747810</v>
      </c>
      <c r="G284" s="4">
        <v>1228129</v>
      </c>
      <c r="H284" s="2">
        <v>0</v>
      </c>
      <c r="I284" s="5">
        <v>1</v>
      </c>
      <c r="J284" s="5">
        <v>0</v>
      </c>
      <c r="K284" s="11" t="str">
        <f>HYPERLINK("https://www.geoportal.ch/ktsg/map/34?y=2747810&amp;x=1228129&amp;scale=2500&amp;topic=coord&amp;highlight=1&amp;label=Standort|Feuerverbotsplakat","Karte")</f>
        <v>Karte</v>
      </c>
    </row>
    <row r="285" spans="1:11" x14ac:dyDescent="0.2">
      <c r="A285" s="1" t="s">
        <v>425</v>
      </c>
      <c r="B285" s="1" t="s">
        <v>110</v>
      </c>
      <c r="C285" s="1" t="s">
        <v>9</v>
      </c>
      <c r="D285" s="2">
        <v>2113</v>
      </c>
      <c r="E285" s="1" t="s">
        <v>803</v>
      </c>
      <c r="F285" s="4">
        <v>2751507</v>
      </c>
      <c r="G285" s="4">
        <v>1227400</v>
      </c>
      <c r="H285" s="2">
        <v>0</v>
      </c>
      <c r="I285" s="5">
        <v>1</v>
      </c>
      <c r="J285" s="8">
        <v>1</v>
      </c>
      <c r="K285" s="11" t="str">
        <f>HYPERLINK("https://www.geoportal.ch/ktsg/map/34?y=2751507&amp;x=1227400&amp;scale=2500&amp;topic=coord&amp;highlight=1&amp;label=Standort|Feuerverbotsplakat","Karte")</f>
        <v>Karte</v>
      </c>
    </row>
    <row r="286" spans="1:11" x14ac:dyDescent="0.2">
      <c r="A286" s="1" t="s">
        <v>425</v>
      </c>
      <c r="B286" s="1" t="s">
        <v>110</v>
      </c>
      <c r="C286" s="1" t="s">
        <v>9</v>
      </c>
      <c r="D286" s="2">
        <v>2114</v>
      </c>
      <c r="E286" s="1" t="s">
        <v>895</v>
      </c>
      <c r="F286" s="4">
        <v>2751924</v>
      </c>
      <c r="G286" s="4">
        <v>1228848</v>
      </c>
      <c r="H286" s="2">
        <v>0</v>
      </c>
      <c r="I286" s="5">
        <v>1</v>
      </c>
      <c r="J286" s="8">
        <v>1</v>
      </c>
      <c r="K286" s="11" t="str">
        <f>HYPERLINK("https://www.geoportal.ch/ktsg/map/34?y=2751924&amp;x=1228848&amp;scale=2500&amp;topic=coord&amp;highlight=1&amp;label=Standort|Feuerverbotsplakat","Karte")</f>
        <v>Karte</v>
      </c>
    </row>
    <row r="287" spans="1:11" x14ac:dyDescent="0.2">
      <c r="A287" s="1" t="s">
        <v>425</v>
      </c>
      <c r="B287" s="1" t="s">
        <v>110</v>
      </c>
      <c r="C287" s="1" t="s">
        <v>9</v>
      </c>
      <c r="D287" s="2">
        <v>2115</v>
      </c>
      <c r="E287" s="1" t="s">
        <v>896</v>
      </c>
      <c r="F287" s="4">
        <v>2752817</v>
      </c>
      <c r="G287" s="4">
        <v>1226747</v>
      </c>
      <c r="H287" s="2">
        <v>0</v>
      </c>
      <c r="I287" s="5">
        <v>1</v>
      </c>
      <c r="J287" s="8">
        <v>1</v>
      </c>
      <c r="K287" s="11" t="str">
        <f>HYPERLINK("https://www.geoportal.ch/ktsg/map/34?y=2752817&amp;x=1226747&amp;scale=2500&amp;topic=coord&amp;highlight=1&amp;label=Standort|Feuerverbotsplakat","Karte")</f>
        <v>Karte</v>
      </c>
    </row>
    <row r="288" spans="1:11" x14ac:dyDescent="0.2">
      <c r="A288" s="1" t="s">
        <v>425</v>
      </c>
      <c r="B288" s="1" t="s">
        <v>110</v>
      </c>
      <c r="C288" s="1" t="s">
        <v>9</v>
      </c>
      <c r="D288" s="2">
        <v>2116</v>
      </c>
      <c r="E288" s="1" t="s">
        <v>897</v>
      </c>
      <c r="F288" s="4">
        <v>2751994</v>
      </c>
      <c r="G288" s="4">
        <v>1227696</v>
      </c>
      <c r="H288" s="2">
        <v>0</v>
      </c>
      <c r="I288" s="5">
        <v>1</v>
      </c>
      <c r="J288" s="8">
        <v>1</v>
      </c>
      <c r="K288" s="11" t="str">
        <f>HYPERLINK("https://www.geoportal.ch/ktsg/map/34?y=2751994&amp;x=1227696&amp;scale=2500&amp;topic=coord&amp;highlight=1&amp;label=Standort|Feuerverbotsplakat","Karte")</f>
        <v>Karte</v>
      </c>
    </row>
    <row r="289" spans="1:11" x14ac:dyDescent="0.2">
      <c r="A289" s="1" t="s">
        <v>425</v>
      </c>
      <c r="B289" s="1" t="s">
        <v>110</v>
      </c>
      <c r="C289" s="1" t="s">
        <v>9</v>
      </c>
      <c r="D289" s="2">
        <v>2117</v>
      </c>
      <c r="E289" s="1" t="s">
        <v>804</v>
      </c>
      <c r="F289" s="4">
        <v>2752124</v>
      </c>
      <c r="G289" s="4">
        <v>1227825</v>
      </c>
      <c r="H289" s="2">
        <v>0</v>
      </c>
      <c r="I289" s="5">
        <v>1</v>
      </c>
      <c r="J289" s="8">
        <v>1</v>
      </c>
      <c r="K289" s="11" t="str">
        <f>HYPERLINK("https://www.geoportal.ch/ktsg/map/34?y=2752124&amp;x=1227825&amp;scale=2500&amp;topic=coord&amp;highlight=1&amp;label=Standort|Feuerverbotsplakat","Karte")</f>
        <v>Karte</v>
      </c>
    </row>
    <row r="290" spans="1:11" x14ac:dyDescent="0.2">
      <c r="A290" s="1" t="s">
        <v>425</v>
      </c>
      <c r="B290" s="1" t="s">
        <v>110</v>
      </c>
      <c r="C290" s="1" t="s">
        <v>9</v>
      </c>
      <c r="D290" s="2">
        <v>2118</v>
      </c>
      <c r="E290" s="1" t="s">
        <v>805</v>
      </c>
      <c r="F290" s="4">
        <v>2751300</v>
      </c>
      <c r="G290" s="4">
        <v>1228133</v>
      </c>
      <c r="H290" s="2">
        <v>0</v>
      </c>
      <c r="I290" s="5">
        <v>1</v>
      </c>
      <c r="J290" s="8">
        <v>0</v>
      </c>
      <c r="K290" s="11" t="str">
        <f>HYPERLINK("https://www.geoportal.ch/ktsg/map/34?y=2751300&amp;x=1228133&amp;scale=2500&amp;topic=coord&amp;highlight=1&amp;label=Standort|Feuerverbotsplakat","Karte")</f>
        <v>Karte</v>
      </c>
    </row>
    <row r="291" spans="1:11" x14ac:dyDescent="0.2">
      <c r="A291" s="1" t="s">
        <v>425</v>
      </c>
      <c r="B291" s="1" t="s">
        <v>110</v>
      </c>
      <c r="C291" s="1" t="s">
        <v>9</v>
      </c>
      <c r="D291" s="2">
        <v>2119</v>
      </c>
      <c r="E291" s="1" t="s">
        <v>591</v>
      </c>
      <c r="F291" s="4">
        <v>2749750</v>
      </c>
      <c r="G291" s="4">
        <v>1228351</v>
      </c>
      <c r="H291" s="2">
        <v>0</v>
      </c>
      <c r="I291" s="5">
        <v>1</v>
      </c>
      <c r="J291" s="8">
        <v>0</v>
      </c>
      <c r="K291" s="11" t="str">
        <f>HYPERLINK("https://www.geoportal.ch/ktsg/map/34?y=2749750&amp;x=1228351&amp;scale=2500&amp;topic=coord&amp;highlight=1&amp;label=Standort|Feuerverbotsplakat","Karte")</f>
        <v>Karte</v>
      </c>
    </row>
    <row r="292" spans="1:11" x14ac:dyDescent="0.2">
      <c r="A292" s="1" t="s">
        <v>425</v>
      </c>
      <c r="B292" s="1" t="s">
        <v>110</v>
      </c>
      <c r="C292" s="1" t="s">
        <v>9</v>
      </c>
      <c r="D292" s="2">
        <v>2120</v>
      </c>
      <c r="E292" s="1" t="s">
        <v>806</v>
      </c>
      <c r="F292" s="4">
        <v>2749414</v>
      </c>
      <c r="G292" s="4">
        <v>1228187</v>
      </c>
      <c r="H292" s="2">
        <v>0</v>
      </c>
      <c r="I292" s="5">
        <v>1</v>
      </c>
      <c r="J292" s="8">
        <v>0</v>
      </c>
      <c r="K292" s="11" t="str">
        <f>HYPERLINK("https://www.geoportal.ch/ktsg/map/34?y=2749414&amp;x=1228187&amp;scale=2500&amp;topic=coord&amp;highlight=1&amp;label=Standort|Feuerverbotsplakat","Karte")</f>
        <v>Karte</v>
      </c>
    </row>
    <row r="293" spans="1:11" x14ac:dyDescent="0.2">
      <c r="A293" s="1" t="s">
        <v>425</v>
      </c>
      <c r="B293" s="1" t="s">
        <v>101</v>
      </c>
      <c r="C293" s="1" t="s">
        <v>9</v>
      </c>
      <c r="D293" s="2">
        <v>2121</v>
      </c>
      <c r="E293" s="1" t="s">
        <v>807</v>
      </c>
      <c r="F293" s="4">
        <v>2760254</v>
      </c>
      <c r="G293" s="4">
        <v>1252004</v>
      </c>
      <c r="H293" s="2">
        <v>0</v>
      </c>
      <c r="I293" s="5">
        <v>0</v>
      </c>
      <c r="J293" s="5">
        <v>1</v>
      </c>
      <c r="K293" s="11" t="str">
        <f>HYPERLINK("https://www.geoportal.ch/ktsg/map/34?y=2760254&amp;x=1252004&amp;scale=2500&amp;topic=coord&amp;highlight=1&amp;label=Standort|Feuerverbotsplakat","Karte")</f>
        <v>Karte</v>
      </c>
    </row>
    <row r="294" spans="1:11" x14ac:dyDescent="0.2">
      <c r="A294" s="1" t="s">
        <v>425</v>
      </c>
      <c r="B294" s="1" t="s">
        <v>101</v>
      </c>
      <c r="C294" s="1" t="s">
        <v>9</v>
      </c>
      <c r="D294" s="2">
        <v>2122</v>
      </c>
      <c r="E294" s="1" t="s">
        <v>348</v>
      </c>
      <c r="F294" s="4">
        <v>2760014</v>
      </c>
      <c r="G294" s="4">
        <v>1251910</v>
      </c>
      <c r="H294" s="2">
        <v>0</v>
      </c>
      <c r="I294" s="5">
        <v>1</v>
      </c>
      <c r="J294" s="5">
        <v>0</v>
      </c>
      <c r="K294" s="11" t="str">
        <f>HYPERLINK("https://www.geoportal.ch/ktsg/map/34?y=2760014&amp;x=1251910&amp;scale=2500&amp;topic=coord&amp;highlight=1&amp;label=Standort|Feuerverbotsplakat","Karte")</f>
        <v>Karte</v>
      </c>
    </row>
    <row r="295" spans="1:11" x14ac:dyDescent="0.2">
      <c r="A295" s="1" t="s">
        <v>425</v>
      </c>
      <c r="B295" s="1" t="s">
        <v>101</v>
      </c>
      <c r="C295" s="1" t="s">
        <v>9</v>
      </c>
      <c r="D295" s="2">
        <v>2123</v>
      </c>
      <c r="E295" s="1" t="s">
        <v>347</v>
      </c>
      <c r="F295" s="4">
        <v>2760257</v>
      </c>
      <c r="G295" s="4">
        <v>1251390</v>
      </c>
      <c r="H295" s="2">
        <v>0</v>
      </c>
      <c r="I295" s="5">
        <v>1</v>
      </c>
      <c r="J295" s="5">
        <v>0</v>
      </c>
      <c r="K295" s="11" t="str">
        <f>HYPERLINK("https://www.geoportal.ch/ktsg/map/34?y=2760257&amp;x=1251390&amp;scale=2500&amp;topic=coord&amp;highlight=1&amp;label=Standort|Feuerverbotsplakat","Karte")</f>
        <v>Karte</v>
      </c>
    </row>
    <row r="296" spans="1:11" x14ac:dyDescent="0.2">
      <c r="A296" s="1" t="s">
        <v>425</v>
      </c>
      <c r="B296" s="1" t="s">
        <v>101</v>
      </c>
      <c r="C296" s="1" t="s">
        <v>9</v>
      </c>
      <c r="D296" s="2">
        <v>2124</v>
      </c>
      <c r="E296" s="1" t="s">
        <v>346</v>
      </c>
      <c r="F296" s="4">
        <v>2759771</v>
      </c>
      <c r="G296" s="4">
        <v>1251693</v>
      </c>
      <c r="H296" s="2">
        <v>0</v>
      </c>
      <c r="I296" s="5">
        <v>1</v>
      </c>
      <c r="J296" s="5">
        <v>0</v>
      </c>
      <c r="K296" s="11" t="str">
        <f>HYPERLINK("https://www.geoportal.ch/ktsg/map/34?y=2759771&amp;x=1251693&amp;scale=2500&amp;topic=coord&amp;highlight=1&amp;label=Standort|Feuerverbotsplakat","Karte")</f>
        <v>Karte</v>
      </c>
    </row>
    <row r="297" spans="1:11" x14ac:dyDescent="0.2">
      <c r="A297" s="1" t="s">
        <v>425</v>
      </c>
      <c r="B297" s="1" t="s">
        <v>101</v>
      </c>
      <c r="C297" s="1" t="s">
        <v>9</v>
      </c>
      <c r="D297" s="2">
        <v>2125</v>
      </c>
      <c r="E297" s="1" t="s">
        <v>345</v>
      </c>
      <c r="F297" s="4">
        <v>2760438</v>
      </c>
      <c r="G297" s="4">
        <v>1251922</v>
      </c>
      <c r="H297" s="2">
        <v>0</v>
      </c>
      <c r="I297" s="5">
        <v>1</v>
      </c>
      <c r="J297" s="5">
        <v>0</v>
      </c>
      <c r="K297" s="11" t="str">
        <f>HYPERLINK("https://www.geoportal.ch/ktsg/map/34?y=2760438&amp;x=1251922&amp;scale=2500&amp;topic=coord&amp;highlight=1&amp;label=Standort|Feuerverbotsplakat","Karte")</f>
        <v>Karte</v>
      </c>
    </row>
    <row r="298" spans="1:11" x14ac:dyDescent="0.2">
      <c r="A298" s="1" t="s">
        <v>425</v>
      </c>
      <c r="B298" s="1" t="s">
        <v>101</v>
      </c>
      <c r="C298" s="1" t="s">
        <v>9</v>
      </c>
      <c r="D298" s="2">
        <v>2126</v>
      </c>
      <c r="E298" s="1" t="s">
        <v>344</v>
      </c>
      <c r="F298" s="4">
        <v>2760543</v>
      </c>
      <c r="G298" s="4">
        <v>1252112</v>
      </c>
      <c r="H298" s="2">
        <v>0</v>
      </c>
      <c r="I298" s="5">
        <v>1</v>
      </c>
      <c r="J298" s="5">
        <v>0</v>
      </c>
      <c r="K298" s="11" t="str">
        <f>HYPERLINK("https://www.geoportal.ch/ktsg/map/34?y=2760543&amp;x=1252112&amp;scale=2500&amp;topic=coord&amp;highlight=1&amp;label=Standort|Feuerverbotsplakat","Karte")</f>
        <v>Karte</v>
      </c>
    </row>
    <row r="299" spans="1:11" x14ac:dyDescent="0.2">
      <c r="A299" s="1" t="s">
        <v>425</v>
      </c>
      <c r="B299" s="1" t="s">
        <v>101</v>
      </c>
      <c r="C299" s="1" t="s">
        <v>9</v>
      </c>
      <c r="D299" s="2">
        <v>2127</v>
      </c>
      <c r="E299" s="1" t="s">
        <v>343</v>
      </c>
      <c r="F299" s="4">
        <v>2760726</v>
      </c>
      <c r="G299" s="4">
        <v>1251223</v>
      </c>
      <c r="H299" s="2">
        <v>0</v>
      </c>
      <c r="I299" s="5">
        <v>1</v>
      </c>
      <c r="J299" s="5">
        <v>0</v>
      </c>
      <c r="K299" s="11" t="str">
        <f>HYPERLINK("https://www.geoportal.ch/ktsg/map/34?y=2760726&amp;x=1251223&amp;scale=2500&amp;topic=coord&amp;highlight=1&amp;label=Standort|Feuerverbotsplakat","Karte")</f>
        <v>Karte</v>
      </c>
    </row>
    <row r="300" spans="1:11" x14ac:dyDescent="0.2">
      <c r="A300" s="1" t="s">
        <v>425</v>
      </c>
      <c r="B300" s="1" t="s">
        <v>106</v>
      </c>
      <c r="C300" s="1" t="s">
        <v>105</v>
      </c>
      <c r="D300" s="2">
        <v>2128</v>
      </c>
      <c r="E300" s="1" t="s">
        <v>629</v>
      </c>
      <c r="F300" s="4">
        <v>2759490</v>
      </c>
      <c r="G300" s="4">
        <v>1243940</v>
      </c>
      <c r="H300" s="2">
        <v>0</v>
      </c>
      <c r="I300" s="5">
        <v>1</v>
      </c>
      <c r="J300" s="5">
        <v>0</v>
      </c>
      <c r="K300" s="11" t="str">
        <f>HYPERLINK("https://www.geoportal.ch/ktsg/map/34?y=2759490&amp;x=1243940&amp;scale=2500&amp;topic=coord&amp;highlight=1&amp;label=Standort|Feuerverbotsplakat","Karte")</f>
        <v>Karte</v>
      </c>
    </row>
    <row r="301" spans="1:11" x14ac:dyDescent="0.2">
      <c r="A301" s="1" t="s">
        <v>425</v>
      </c>
      <c r="B301" s="1" t="s">
        <v>106</v>
      </c>
      <c r="C301" s="1" t="s">
        <v>105</v>
      </c>
      <c r="D301" s="2">
        <v>2129</v>
      </c>
      <c r="E301" s="1" t="s">
        <v>630</v>
      </c>
      <c r="F301" s="4">
        <v>2757720</v>
      </c>
      <c r="G301" s="4">
        <v>1243700</v>
      </c>
      <c r="H301" s="2">
        <v>0</v>
      </c>
      <c r="I301" s="5">
        <v>1</v>
      </c>
      <c r="J301" s="5">
        <v>0</v>
      </c>
      <c r="K301" s="11" t="str">
        <f>HYPERLINK("https://www.geoportal.ch/ktsg/map/34?y=2757720&amp;x=1243700&amp;scale=2500&amp;topic=coord&amp;highlight=1&amp;label=Standort|Feuerverbotsplakat","Karte")</f>
        <v>Karte</v>
      </c>
    </row>
    <row r="302" spans="1:11" x14ac:dyDescent="0.2">
      <c r="A302" s="1" t="s">
        <v>425</v>
      </c>
      <c r="B302" s="1" t="s">
        <v>106</v>
      </c>
      <c r="C302" s="1" t="s">
        <v>105</v>
      </c>
      <c r="D302" s="2">
        <v>2130</v>
      </c>
      <c r="E302" s="1" t="s">
        <v>631</v>
      </c>
      <c r="F302" s="4">
        <v>2757420</v>
      </c>
      <c r="G302" s="4">
        <v>1243300</v>
      </c>
      <c r="H302" s="2">
        <v>0</v>
      </c>
      <c r="I302" s="5">
        <v>1</v>
      </c>
      <c r="J302" s="5">
        <v>0</v>
      </c>
      <c r="K302" s="11" t="str">
        <f>HYPERLINK("https://www.geoportal.ch/ktsg/map/34?y=2757420&amp;x=1243300&amp;scale=2500&amp;topic=coord&amp;highlight=1&amp;label=Standort|Feuerverbotsplakat","Karte")</f>
        <v>Karte</v>
      </c>
    </row>
    <row r="303" spans="1:11" x14ac:dyDescent="0.2">
      <c r="A303" s="1" t="s">
        <v>425</v>
      </c>
      <c r="B303" s="1" t="s">
        <v>106</v>
      </c>
      <c r="C303" s="1" t="s">
        <v>105</v>
      </c>
      <c r="D303" s="2">
        <v>2131</v>
      </c>
      <c r="E303" s="1" t="s">
        <v>592</v>
      </c>
      <c r="F303" s="4">
        <v>2758100</v>
      </c>
      <c r="G303" s="4">
        <v>1242920</v>
      </c>
      <c r="H303" s="2">
        <v>0</v>
      </c>
      <c r="I303" s="5">
        <v>1</v>
      </c>
      <c r="J303" s="5">
        <v>0</v>
      </c>
      <c r="K303" s="11" t="str">
        <f>HYPERLINK("https://www.geoportal.ch/ktsg/map/34?y=2758100&amp;x=1242920&amp;scale=2500&amp;topic=coord&amp;highlight=1&amp;label=Standort|Feuerverbotsplakat","Karte")</f>
        <v>Karte</v>
      </c>
    </row>
    <row r="304" spans="1:11" x14ac:dyDescent="0.2">
      <c r="A304" s="1" t="s">
        <v>425</v>
      </c>
      <c r="B304" s="1" t="s">
        <v>106</v>
      </c>
      <c r="C304" s="1" t="s">
        <v>105</v>
      </c>
      <c r="D304" s="2">
        <v>2132</v>
      </c>
      <c r="E304" s="1" t="s">
        <v>632</v>
      </c>
      <c r="F304" s="4">
        <v>2757170</v>
      </c>
      <c r="G304" s="4">
        <v>1242760</v>
      </c>
      <c r="H304" s="2">
        <v>0</v>
      </c>
      <c r="I304" s="5">
        <v>1</v>
      </c>
      <c r="J304" s="5">
        <v>0</v>
      </c>
      <c r="K304" s="11" t="str">
        <f>HYPERLINK("https://www.geoportal.ch/ktsg/map/34?y=2757170&amp;x=1242760&amp;scale=2500&amp;topic=coord&amp;highlight=1&amp;label=Standort|Feuerverbotsplakat","Karte")</f>
        <v>Karte</v>
      </c>
    </row>
    <row r="305" spans="1:11" x14ac:dyDescent="0.2">
      <c r="A305" s="1" t="s">
        <v>425</v>
      </c>
      <c r="B305" s="1" t="s">
        <v>106</v>
      </c>
      <c r="C305" s="1" t="s">
        <v>105</v>
      </c>
      <c r="D305" s="2">
        <v>2133</v>
      </c>
      <c r="E305" s="1" t="s">
        <v>633</v>
      </c>
      <c r="F305" s="4">
        <v>2758120</v>
      </c>
      <c r="G305" s="4">
        <v>1243460</v>
      </c>
      <c r="H305" s="2">
        <v>0</v>
      </c>
      <c r="I305" s="5">
        <v>1</v>
      </c>
      <c r="J305" s="5">
        <v>0</v>
      </c>
      <c r="K305" s="11" t="str">
        <f>HYPERLINK("https://www.geoportal.ch/ktsg/map/34?y=2758120&amp;x=1243460&amp;scale=2500&amp;topic=coord&amp;highlight=1&amp;label=Standort|Feuerverbotsplakat","Karte")</f>
        <v>Karte</v>
      </c>
    </row>
    <row r="306" spans="1:11" x14ac:dyDescent="0.2">
      <c r="A306" s="1" t="s">
        <v>425</v>
      </c>
      <c r="B306" s="1" t="s">
        <v>106</v>
      </c>
      <c r="C306" s="1" t="s">
        <v>105</v>
      </c>
      <c r="D306" s="2">
        <v>2134</v>
      </c>
      <c r="E306" s="1" t="s">
        <v>634</v>
      </c>
      <c r="F306" s="4">
        <v>2758410</v>
      </c>
      <c r="G306" s="4">
        <v>1243410</v>
      </c>
      <c r="H306" s="2">
        <v>0</v>
      </c>
      <c r="I306" s="5">
        <v>1</v>
      </c>
      <c r="J306" s="5">
        <v>0</v>
      </c>
      <c r="K306" s="11" t="str">
        <f>HYPERLINK("https://www.geoportal.ch/ktsg/map/34?y=2758410&amp;x=1243410&amp;scale=2500&amp;topic=coord&amp;highlight=1&amp;label=Standort|Feuerverbotsplakat","Karte")</f>
        <v>Karte</v>
      </c>
    </row>
    <row r="307" spans="1:11" x14ac:dyDescent="0.2">
      <c r="A307" s="1" t="s">
        <v>425</v>
      </c>
      <c r="B307" s="1" t="s">
        <v>106</v>
      </c>
      <c r="C307" s="1" t="s">
        <v>105</v>
      </c>
      <c r="D307" s="2">
        <v>2135</v>
      </c>
      <c r="E307" s="1" t="s">
        <v>593</v>
      </c>
      <c r="F307" s="4">
        <v>2758720</v>
      </c>
      <c r="G307" s="4">
        <v>1244140</v>
      </c>
      <c r="H307" s="2">
        <v>0</v>
      </c>
      <c r="I307" s="5">
        <v>0</v>
      </c>
      <c r="J307" s="5">
        <v>1</v>
      </c>
      <c r="K307" s="11" t="str">
        <f>HYPERLINK("https://www.geoportal.ch/ktsg/map/34?y=2758720&amp;x=1244140&amp;scale=2500&amp;topic=coord&amp;highlight=1&amp;label=Standort|Feuerverbotsplakat","Karte")</f>
        <v>Karte</v>
      </c>
    </row>
    <row r="308" spans="1:11" x14ac:dyDescent="0.2">
      <c r="A308" s="1" t="s">
        <v>425</v>
      </c>
      <c r="B308" s="1" t="s">
        <v>106</v>
      </c>
      <c r="C308" s="1" t="s">
        <v>105</v>
      </c>
      <c r="D308" s="2">
        <v>2136</v>
      </c>
      <c r="E308" s="1" t="s">
        <v>808</v>
      </c>
      <c r="F308" s="4">
        <v>2756410</v>
      </c>
      <c r="G308" s="4">
        <v>1243160</v>
      </c>
      <c r="H308" s="2">
        <v>0</v>
      </c>
      <c r="I308" s="5">
        <v>1</v>
      </c>
      <c r="J308" s="5">
        <v>0</v>
      </c>
      <c r="K308" s="11" t="str">
        <f>HYPERLINK("https://www.geoportal.ch/ktsg/map/34?y=2756410&amp;x=1243160&amp;scale=2500&amp;topic=coord&amp;highlight=1&amp;label=Standort|Feuerverbotsplakat","Karte")</f>
        <v>Karte</v>
      </c>
    </row>
    <row r="309" spans="1:11" x14ac:dyDescent="0.2">
      <c r="A309" s="1" t="s">
        <v>425</v>
      </c>
      <c r="B309" s="1" t="s">
        <v>106</v>
      </c>
      <c r="C309" s="1" t="s">
        <v>105</v>
      </c>
      <c r="D309" s="2">
        <v>2137</v>
      </c>
      <c r="E309" s="1" t="s">
        <v>809</v>
      </c>
      <c r="F309" s="4">
        <v>2755840</v>
      </c>
      <c r="G309" s="4">
        <v>1242460</v>
      </c>
      <c r="H309" s="2">
        <v>0</v>
      </c>
      <c r="I309" s="5">
        <v>1</v>
      </c>
      <c r="J309" s="5">
        <v>0</v>
      </c>
      <c r="K309" s="11" t="str">
        <f>HYPERLINK("https://www.geoportal.ch/ktsg/map/34?y=2755840&amp;x=1242460&amp;scale=2500&amp;topic=coord&amp;highlight=1&amp;label=Standort|Feuerverbotsplakat","Karte")</f>
        <v>Karte</v>
      </c>
    </row>
    <row r="310" spans="1:11" x14ac:dyDescent="0.2">
      <c r="A310" s="1" t="s">
        <v>425</v>
      </c>
      <c r="B310" s="1" t="s">
        <v>106</v>
      </c>
      <c r="C310" s="1" t="s">
        <v>105</v>
      </c>
      <c r="D310" s="2">
        <v>2138</v>
      </c>
      <c r="E310" s="1" t="s">
        <v>810</v>
      </c>
      <c r="F310" s="4">
        <v>2756400</v>
      </c>
      <c r="G310" s="4">
        <v>1242070</v>
      </c>
      <c r="H310" s="2">
        <v>0</v>
      </c>
      <c r="I310" s="5">
        <v>1</v>
      </c>
      <c r="J310" s="5">
        <v>0</v>
      </c>
      <c r="K310" s="11" t="str">
        <f>HYPERLINK("https://www.geoportal.ch/ktsg/map/34?y=2756400&amp;x=1242070&amp;scale=2500&amp;topic=coord&amp;highlight=1&amp;label=Standort|Feuerverbotsplakat","Karte")</f>
        <v>Karte</v>
      </c>
    </row>
    <row r="311" spans="1:11" x14ac:dyDescent="0.2">
      <c r="A311" s="1" t="s">
        <v>425</v>
      </c>
      <c r="B311" s="1" t="s">
        <v>106</v>
      </c>
      <c r="C311" s="1" t="s">
        <v>105</v>
      </c>
      <c r="D311" s="2">
        <v>2139</v>
      </c>
      <c r="E311" s="1" t="s">
        <v>635</v>
      </c>
      <c r="F311" s="4">
        <v>2758450</v>
      </c>
      <c r="G311" s="4">
        <v>1242880</v>
      </c>
      <c r="H311" s="2">
        <v>0</v>
      </c>
      <c r="I311" s="5">
        <v>1</v>
      </c>
      <c r="J311" s="5">
        <v>0</v>
      </c>
      <c r="K311" s="11" t="str">
        <f>HYPERLINK("https://www.geoportal.ch/ktsg/map/34?y=2758450&amp;x=1242880&amp;scale=2500&amp;topic=coord&amp;highlight=1&amp;label=Standort|Feuerverbotsplakat","Karte")</f>
        <v>Karte</v>
      </c>
    </row>
    <row r="312" spans="1:11" x14ac:dyDescent="0.2">
      <c r="A312" s="1" t="s">
        <v>425</v>
      </c>
      <c r="B312" s="1" t="s">
        <v>106</v>
      </c>
      <c r="C312" s="1" t="s">
        <v>9</v>
      </c>
      <c r="D312" s="2">
        <v>2140</v>
      </c>
      <c r="E312" s="1" t="s">
        <v>636</v>
      </c>
      <c r="F312" s="4">
        <v>2760200</v>
      </c>
      <c r="G312" s="4">
        <v>1243600</v>
      </c>
      <c r="H312" s="2">
        <v>0</v>
      </c>
      <c r="I312" s="5">
        <v>1</v>
      </c>
      <c r="J312" s="5">
        <v>0</v>
      </c>
      <c r="K312" s="11" t="str">
        <f>HYPERLINK("https://www.geoportal.ch/ktsg/map/34?y=2760200&amp;x=1243600&amp;scale=2500&amp;topic=coord&amp;highlight=1&amp;label=Standort|Feuerverbotsplakat","Karte")</f>
        <v>Karte</v>
      </c>
    </row>
    <row r="313" spans="1:11" x14ac:dyDescent="0.2">
      <c r="A313" s="1" t="s">
        <v>425</v>
      </c>
      <c r="B313" s="1" t="s">
        <v>106</v>
      </c>
      <c r="C313" s="1" t="s">
        <v>9</v>
      </c>
      <c r="D313" s="2">
        <v>2141</v>
      </c>
      <c r="E313" s="1" t="s">
        <v>637</v>
      </c>
      <c r="F313" s="4">
        <v>2760800</v>
      </c>
      <c r="G313" s="4">
        <v>1241800</v>
      </c>
      <c r="H313" s="2">
        <v>0</v>
      </c>
      <c r="I313" s="5">
        <v>1</v>
      </c>
      <c r="J313" s="5">
        <v>0</v>
      </c>
      <c r="K313" s="11" t="str">
        <f>HYPERLINK("https://www.geoportal.ch/ktsg/map/34?y=2760800&amp;x=1241800&amp;scale=2500&amp;topic=coord&amp;highlight=1&amp;label=Standort|Feuerverbotsplakat","Karte")</f>
        <v>Karte</v>
      </c>
    </row>
    <row r="314" spans="1:11" x14ac:dyDescent="0.2">
      <c r="A314" s="1" t="s">
        <v>425</v>
      </c>
      <c r="B314" s="1" t="s">
        <v>106</v>
      </c>
      <c r="C314" s="1" t="s">
        <v>9</v>
      </c>
      <c r="D314" s="2">
        <v>2142</v>
      </c>
      <c r="E314" s="1" t="s">
        <v>638</v>
      </c>
      <c r="F314" s="4">
        <v>2764600</v>
      </c>
      <c r="G314" s="4">
        <v>1248500</v>
      </c>
      <c r="H314" s="2">
        <v>0</v>
      </c>
      <c r="I314" s="5">
        <v>1</v>
      </c>
      <c r="J314" s="5">
        <v>0</v>
      </c>
      <c r="K314" s="11" t="str">
        <f>HYPERLINK("https://www.geoportal.ch/ktsg/map/34?y=2764600&amp;x=1248500&amp;scale=2500&amp;topic=coord&amp;highlight=1&amp;label=Standort|Feuerverbotsplakat","Karte")</f>
        <v>Karte</v>
      </c>
    </row>
    <row r="315" spans="1:11" x14ac:dyDescent="0.2">
      <c r="A315" s="1" t="s">
        <v>425</v>
      </c>
      <c r="B315" s="1" t="s">
        <v>100</v>
      </c>
      <c r="C315" s="1" t="s">
        <v>9</v>
      </c>
      <c r="D315" s="2">
        <v>2143</v>
      </c>
      <c r="E315" s="1" t="s">
        <v>342</v>
      </c>
      <c r="F315" s="4">
        <v>2760566</v>
      </c>
      <c r="G315" s="4">
        <v>1252325</v>
      </c>
      <c r="H315" s="2">
        <v>0</v>
      </c>
      <c r="I315" s="5">
        <v>0</v>
      </c>
      <c r="J315" s="5">
        <v>1</v>
      </c>
      <c r="K315" s="11" t="str">
        <f>HYPERLINK("https://www.geoportal.ch/ktsg/map/34?y=2760566&amp;x=1252325&amp;scale=2500&amp;topic=coord&amp;highlight=1&amp;label=Standort|Feuerverbotsplakat","Karte")</f>
        <v>Karte</v>
      </c>
    </row>
    <row r="316" spans="1:11" x14ac:dyDescent="0.2">
      <c r="A316" s="1" t="s">
        <v>425</v>
      </c>
      <c r="B316" s="1" t="s">
        <v>100</v>
      </c>
      <c r="C316" s="1" t="s">
        <v>9</v>
      </c>
      <c r="D316" s="2">
        <v>2144</v>
      </c>
      <c r="E316" s="1" t="s">
        <v>341</v>
      </c>
      <c r="F316" s="4">
        <v>2760138</v>
      </c>
      <c r="G316" s="4">
        <v>1252325</v>
      </c>
      <c r="H316" s="2">
        <v>0</v>
      </c>
      <c r="I316" s="5">
        <v>1</v>
      </c>
      <c r="J316" s="5">
        <v>0</v>
      </c>
      <c r="K316" s="11" t="str">
        <f>HYPERLINK("https://www.geoportal.ch/ktsg/map/34?y=2760138&amp;x=1252325&amp;scale=2500&amp;topic=coord&amp;highlight=1&amp;label=Standort|Feuerverbotsplakat","Karte")</f>
        <v>Karte</v>
      </c>
    </row>
    <row r="317" spans="1:11" x14ac:dyDescent="0.2">
      <c r="A317" s="1" t="s">
        <v>425</v>
      </c>
      <c r="B317" s="1" t="s">
        <v>100</v>
      </c>
      <c r="C317" s="1" t="s">
        <v>9</v>
      </c>
      <c r="D317" s="2">
        <v>2145</v>
      </c>
      <c r="E317" s="1" t="s">
        <v>340</v>
      </c>
      <c r="F317" s="4">
        <v>2758811</v>
      </c>
      <c r="G317" s="4">
        <v>1252087</v>
      </c>
      <c r="H317" s="2">
        <v>0</v>
      </c>
      <c r="I317" s="5">
        <v>1</v>
      </c>
      <c r="J317" s="5">
        <v>0</v>
      </c>
      <c r="K317" s="11" t="str">
        <f>HYPERLINK("https://www.geoportal.ch/ktsg/map/34?y=2758811&amp;x=1252087&amp;scale=2500&amp;topic=coord&amp;highlight=1&amp;label=Standort|Feuerverbotsplakat","Karte")</f>
        <v>Karte</v>
      </c>
    </row>
    <row r="318" spans="1:11" x14ac:dyDescent="0.2">
      <c r="A318" s="1" t="s">
        <v>425</v>
      </c>
      <c r="B318" s="1" t="s">
        <v>100</v>
      </c>
      <c r="C318" s="1" t="s">
        <v>9</v>
      </c>
      <c r="D318" s="2">
        <v>2146</v>
      </c>
      <c r="E318" s="1" t="s">
        <v>594</v>
      </c>
      <c r="F318" s="4">
        <v>2759216</v>
      </c>
      <c r="G318" s="4">
        <v>1252898</v>
      </c>
      <c r="H318" s="2">
        <v>0</v>
      </c>
      <c r="I318" s="5">
        <v>1</v>
      </c>
      <c r="J318" s="5">
        <v>0</v>
      </c>
      <c r="K318" s="11" t="str">
        <f>HYPERLINK("https://www.geoportal.ch/ktsg/map/34?y=2759216&amp;x=1252898&amp;scale=2500&amp;topic=coord&amp;highlight=1&amp;label=Standort|Feuerverbotsplakat","Karte")</f>
        <v>Karte</v>
      </c>
    </row>
    <row r="319" spans="1:11" x14ac:dyDescent="0.2">
      <c r="A319" s="1" t="s">
        <v>425</v>
      </c>
      <c r="B319" s="1" t="s">
        <v>100</v>
      </c>
      <c r="C319" s="1" t="s">
        <v>9</v>
      </c>
      <c r="D319" s="2">
        <v>2147</v>
      </c>
      <c r="E319" s="1" t="s">
        <v>339</v>
      </c>
      <c r="F319" s="4">
        <v>2761670</v>
      </c>
      <c r="G319" s="4">
        <v>1252572</v>
      </c>
      <c r="H319" s="2">
        <v>0</v>
      </c>
      <c r="I319" s="5">
        <v>1</v>
      </c>
      <c r="J319" s="5">
        <v>0</v>
      </c>
      <c r="K319" s="11" t="str">
        <f>HYPERLINK("https://www.geoportal.ch/ktsg/map/34?y=2761670&amp;x=1252572&amp;scale=2500&amp;topic=coord&amp;highlight=1&amp;label=Standort|Feuerverbotsplakat","Karte")</f>
        <v>Karte</v>
      </c>
    </row>
    <row r="320" spans="1:11" x14ac:dyDescent="0.2">
      <c r="A320" s="1" t="s">
        <v>425</v>
      </c>
      <c r="B320" s="1" t="s">
        <v>100</v>
      </c>
      <c r="C320" s="1" t="s">
        <v>9</v>
      </c>
      <c r="D320" s="2">
        <v>2148</v>
      </c>
      <c r="E320" s="1" t="s">
        <v>811</v>
      </c>
      <c r="F320" s="4">
        <v>2762101</v>
      </c>
      <c r="G320" s="4">
        <v>1252806</v>
      </c>
      <c r="H320" s="2">
        <v>0</v>
      </c>
      <c r="I320" s="5">
        <v>1</v>
      </c>
      <c r="J320" s="5">
        <v>0</v>
      </c>
      <c r="K320" s="11" t="str">
        <f>HYPERLINK("https://www.geoportal.ch/ktsg/map/34?y=2762101&amp;x=1252806&amp;scale=2500&amp;topic=coord&amp;highlight=1&amp;label=Standort|Feuerverbotsplakat","Karte")</f>
        <v>Karte</v>
      </c>
    </row>
    <row r="321" spans="1:11" x14ac:dyDescent="0.2">
      <c r="A321" s="1" t="s">
        <v>425</v>
      </c>
      <c r="B321" s="1" t="s">
        <v>100</v>
      </c>
      <c r="C321" s="1" t="s">
        <v>9</v>
      </c>
      <c r="D321" s="2">
        <v>2149</v>
      </c>
      <c r="E321" s="1" t="s">
        <v>338</v>
      </c>
      <c r="F321" s="4">
        <v>2760490</v>
      </c>
      <c r="G321" s="4">
        <v>1252632</v>
      </c>
      <c r="H321" s="2">
        <v>0</v>
      </c>
      <c r="I321" s="5">
        <v>1</v>
      </c>
      <c r="J321" s="5">
        <v>0</v>
      </c>
      <c r="K321" s="11" t="str">
        <f>HYPERLINK("https://www.geoportal.ch/ktsg/map/34?y=2760490&amp;x=1252632&amp;scale=2500&amp;topic=coord&amp;highlight=1&amp;label=Standort|Feuerverbotsplakat","Karte")</f>
        <v>Karte</v>
      </c>
    </row>
    <row r="322" spans="1:11" x14ac:dyDescent="0.2">
      <c r="A322" s="1" t="s">
        <v>425</v>
      </c>
      <c r="B322" s="1" t="s">
        <v>100</v>
      </c>
      <c r="C322" s="1" t="s">
        <v>9</v>
      </c>
      <c r="D322" s="2">
        <v>2150</v>
      </c>
      <c r="E322" s="1" t="s">
        <v>337</v>
      </c>
      <c r="F322" s="4">
        <v>2761810</v>
      </c>
      <c r="G322" s="4">
        <v>1251922</v>
      </c>
      <c r="H322" s="2">
        <v>0</v>
      </c>
      <c r="I322" s="5">
        <v>1</v>
      </c>
      <c r="J322" s="5">
        <v>0</v>
      </c>
      <c r="K322" s="11" t="str">
        <f>HYPERLINK("https://www.geoportal.ch/ktsg/map/34?y=2761810&amp;x=1251922&amp;scale=2500&amp;topic=coord&amp;highlight=1&amp;label=Standort|Feuerverbotsplakat","Karte")</f>
        <v>Karte</v>
      </c>
    </row>
    <row r="323" spans="1:11" x14ac:dyDescent="0.2">
      <c r="A323" s="1" t="s">
        <v>425</v>
      </c>
      <c r="B323" s="1" t="s">
        <v>94</v>
      </c>
      <c r="C323" s="1" t="s">
        <v>9</v>
      </c>
      <c r="D323" s="2">
        <v>2151</v>
      </c>
      <c r="E323" s="1" t="s">
        <v>812</v>
      </c>
      <c r="F323" s="4">
        <v>2761367</v>
      </c>
      <c r="G323" s="4">
        <v>1261068</v>
      </c>
      <c r="H323" s="2">
        <v>0</v>
      </c>
      <c r="I323" s="5">
        <v>1</v>
      </c>
      <c r="J323" s="5">
        <v>0</v>
      </c>
      <c r="K323" s="11" t="str">
        <f>HYPERLINK("https://www.geoportal.ch/ktsg/map/34?y=2761367&amp;x=1261068&amp;scale=2500&amp;topic=coord&amp;highlight=1&amp;label=Standort|Feuerverbotsplakat","Karte")</f>
        <v>Karte</v>
      </c>
    </row>
    <row r="324" spans="1:11" x14ac:dyDescent="0.2">
      <c r="A324" s="1" t="s">
        <v>425</v>
      </c>
      <c r="B324" s="1" t="s">
        <v>94</v>
      </c>
      <c r="C324" s="1" t="s">
        <v>9</v>
      </c>
      <c r="D324" s="2">
        <v>2152</v>
      </c>
      <c r="E324" s="1" t="s">
        <v>813</v>
      </c>
      <c r="F324" s="4">
        <v>2761636</v>
      </c>
      <c r="G324" s="4">
        <v>1260922</v>
      </c>
      <c r="H324" s="2">
        <v>0</v>
      </c>
      <c r="I324" s="5">
        <v>1</v>
      </c>
      <c r="J324" s="5">
        <v>0</v>
      </c>
      <c r="K324" s="11" t="str">
        <f>HYPERLINK("https://www.geoportal.ch/ktsg/map/34?y=2761636&amp;x=1260922&amp;scale=2500&amp;topic=coord&amp;highlight=1&amp;label=Standort|Feuerverbotsplakat","Karte")</f>
        <v>Karte</v>
      </c>
    </row>
    <row r="325" spans="1:11" x14ac:dyDescent="0.2">
      <c r="A325" s="1" t="s">
        <v>425</v>
      </c>
      <c r="B325" s="1" t="s">
        <v>94</v>
      </c>
      <c r="C325" s="1" t="s">
        <v>9</v>
      </c>
      <c r="D325" s="2">
        <v>2153</v>
      </c>
      <c r="E325" s="1" t="s">
        <v>814</v>
      </c>
      <c r="F325" s="4">
        <v>2761410</v>
      </c>
      <c r="G325" s="4">
        <v>1261226</v>
      </c>
      <c r="H325" s="2">
        <v>0</v>
      </c>
      <c r="I325" s="5">
        <v>1</v>
      </c>
      <c r="J325" s="5">
        <v>0</v>
      </c>
      <c r="K325" s="11" t="str">
        <f>HYPERLINK("https://www.geoportal.ch/ktsg/map/34?y=2761410&amp;x=1261226&amp;scale=2500&amp;topic=coord&amp;highlight=1&amp;label=Standort|Feuerverbotsplakat","Karte")</f>
        <v>Karte</v>
      </c>
    </row>
    <row r="326" spans="1:11" x14ac:dyDescent="0.2">
      <c r="A326" s="1" t="s">
        <v>425</v>
      </c>
      <c r="B326" s="1" t="s">
        <v>94</v>
      </c>
      <c r="C326" s="1" t="s">
        <v>9</v>
      </c>
      <c r="D326" s="2">
        <v>2154</v>
      </c>
      <c r="E326" s="1" t="s">
        <v>815</v>
      </c>
      <c r="F326" s="4">
        <v>2761475</v>
      </c>
      <c r="G326" s="4">
        <v>1261208</v>
      </c>
      <c r="H326" s="2">
        <v>0</v>
      </c>
      <c r="I326" s="5">
        <v>0</v>
      </c>
      <c r="J326" s="5">
        <v>1</v>
      </c>
      <c r="K326" s="11" t="str">
        <f>HYPERLINK("https://www.geoportal.ch/ktsg/map/34?y=2761475&amp;x=1261208&amp;scale=2500&amp;topic=coord&amp;highlight=1&amp;label=Standort|Feuerverbotsplakat","Karte")</f>
        <v>Karte</v>
      </c>
    </row>
    <row r="327" spans="1:11" x14ac:dyDescent="0.2">
      <c r="A327" s="1" t="s">
        <v>425</v>
      </c>
      <c r="B327" s="1" t="s">
        <v>94</v>
      </c>
      <c r="C327" s="1" t="s">
        <v>9</v>
      </c>
      <c r="D327" s="2">
        <v>2155</v>
      </c>
      <c r="E327" s="1" t="s">
        <v>304</v>
      </c>
      <c r="F327" s="4">
        <v>2761511</v>
      </c>
      <c r="G327" s="4">
        <v>1261293</v>
      </c>
      <c r="H327" s="2">
        <v>0</v>
      </c>
      <c r="I327" s="5">
        <v>1</v>
      </c>
      <c r="J327" s="5">
        <v>0</v>
      </c>
      <c r="K327" s="11" t="str">
        <f>HYPERLINK("https://www.geoportal.ch/ktsg/map/34?y=2761511&amp;x=1261293&amp;scale=2500&amp;topic=coord&amp;highlight=1&amp;label=Standort|Feuerverbotsplakat","Karte")</f>
        <v>Karte</v>
      </c>
    </row>
    <row r="328" spans="1:11" x14ac:dyDescent="0.2">
      <c r="A328" s="1" t="s">
        <v>425</v>
      </c>
      <c r="B328" s="1" t="s">
        <v>94</v>
      </c>
      <c r="C328" s="1" t="s">
        <v>9</v>
      </c>
      <c r="D328" s="2">
        <v>2156</v>
      </c>
      <c r="E328" s="1" t="s">
        <v>816</v>
      </c>
      <c r="F328" s="4">
        <v>2761087</v>
      </c>
      <c r="G328" s="4">
        <v>1261580</v>
      </c>
      <c r="H328" s="2">
        <v>0</v>
      </c>
      <c r="I328" s="5">
        <v>1</v>
      </c>
      <c r="J328" s="5">
        <v>0</v>
      </c>
      <c r="K328" s="11" t="str">
        <f>HYPERLINK("https://www.geoportal.ch/ktsg/map/34?y=2761087&amp;x=1261580&amp;scale=2500&amp;topic=coord&amp;highlight=1&amp;label=Standort|Feuerverbotsplakat","Karte")</f>
        <v>Karte</v>
      </c>
    </row>
    <row r="329" spans="1:11" x14ac:dyDescent="0.2">
      <c r="A329" s="1" t="s">
        <v>425</v>
      </c>
      <c r="B329" s="1" t="s">
        <v>94</v>
      </c>
      <c r="C329" s="1" t="s">
        <v>9</v>
      </c>
      <c r="D329" s="2">
        <v>2157</v>
      </c>
      <c r="E329" s="1" t="s">
        <v>303</v>
      </c>
      <c r="F329" s="4">
        <v>2762269</v>
      </c>
      <c r="G329" s="4">
        <v>1259689</v>
      </c>
      <c r="H329" s="2">
        <v>0</v>
      </c>
      <c r="I329" s="5">
        <v>1</v>
      </c>
      <c r="J329" s="5">
        <v>0</v>
      </c>
      <c r="K329" s="11" t="str">
        <f>HYPERLINK("https://www.geoportal.ch/ktsg/map/34?y=2762269&amp;x=1259689&amp;scale=2500&amp;topic=coord&amp;highlight=1&amp;label=Standort|Feuerverbotsplakat","Karte")</f>
        <v>Karte</v>
      </c>
    </row>
    <row r="330" spans="1:11" x14ac:dyDescent="0.2">
      <c r="A330" s="1" t="s">
        <v>425</v>
      </c>
      <c r="B330" s="1" t="s">
        <v>94</v>
      </c>
      <c r="C330" s="1" t="s">
        <v>9</v>
      </c>
      <c r="D330" s="2">
        <v>2158</v>
      </c>
      <c r="E330" s="1" t="s">
        <v>302</v>
      </c>
      <c r="F330" s="4">
        <v>2762318</v>
      </c>
      <c r="G330" s="4">
        <v>1259594</v>
      </c>
      <c r="H330" s="2">
        <v>0</v>
      </c>
      <c r="I330" s="5">
        <v>1</v>
      </c>
      <c r="J330" s="5">
        <v>0</v>
      </c>
      <c r="K330" s="11" t="str">
        <f>HYPERLINK("https://www.geoportal.ch/ktsg/map/34?y=2762318&amp;x=1259594&amp;scale=2500&amp;topic=coord&amp;highlight=1&amp;label=Standort|Feuerverbotsplakat","Karte")</f>
        <v>Karte</v>
      </c>
    </row>
    <row r="331" spans="1:11" x14ac:dyDescent="0.2">
      <c r="A331" s="1" t="s">
        <v>425</v>
      </c>
      <c r="B331" s="1" t="s">
        <v>94</v>
      </c>
      <c r="C331" s="1" t="s">
        <v>9</v>
      </c>
      <c r="D331" s="2">
        <v>2159</v>
      </c>
      <c r="E331" s="1" t="s">
        <v>301</v>
      </c>
      <c r="F331" s="4">
        <v>2761732</v>
      </c>
      <c r="G331" s="4">
        <v>1259401</v>
      </c>
      <c r="H331" s="2">
        <v>0</v>
      </c>
      <c r="I331" s="5">
        <v>1</v>
      </c>
      <c r="J331" s="5">
        <v>0</v>
      </c>
      <c r="K331" s="11" t="str">
        <f>HYPERLINK("https://www.geoportal.ch/ktsg/map/34?y=2761732&amp;x=1259401&amp;scale=2500&amp;topic=coord&amp;highlight=1&amp;label=Standort|Feuerverbotsplakat","Karte")</f>
        <v>Karte</v>
      </c>
    </row>
    <row r="332" spans="1:11" x14ac:dyDescent="0.2">
      <c r="A332" s="1" t="s">
        <v>425</v>
      </c>
      <c r="B332" s="1" t="s">
        <v>94</v>
      </c>
      <c r="C332" s="1" t="s">
        <v>9</v>
      </c>
      <c r="D332" s="2">
        <v>2160</v>
      </c>
      <c r="E332" s="1" t="s">
        <v>300</v>
      </c>
      <c r="F332" s="4">
        <v>2761590</v>
      </c>
      <c r="G332" s="4">
        <v>1259340</v>
      </c>
      <c r="H332" s="2">
        <v>0</v>
      </c>
      <c r="I332" s="5">
        <v>1</v>
      </c>
      <c r="J332" s="5">
        <v>0</v>
      </c>
      <c r="K332" s="11" t="str">
        <f>HYPERLINK("https://www.geoportal.ch/ktsg/map/34?y=2761590&amp;x=1259340&amp;scale=2500&amp;topic=coord&amp;highlight=1&amp;label=Standort|Feuerverbotsplakat","Karte")</f>
        <v>Karte</v>
      </c>
    </row>
    <row r="333" spans="1:11" x14ac:dyDescent="0.2">
      <c r="A333" s="1" t="s">
        <v>425</v>
      </c>
      <c r="B333" s="1" t="s">
        <v>94</v>
      </c>
      <c r="C333" s="1" t="s">
        <v>9</v>
      </c>
      <c r="D333" s="2">
        <v>2161</v>
      </c>
      <c r="E333" s="1" t="s">
        <v>299</v>
      </c>
      <c r="F333" s="4">
        <v>2761859</v>
      </c>
      <c r="G333" s="4">
        <v>1259317</v>
      </c>
      <c r="H333" s="2">
        <v>0</v>
      </c>
      <c r="I333" s="5">
        <v>1</v>
      </c>
      <c r="J333" s="5">
        <v>0</v>
      </c>
      <c r="K333" s="11" t="str">
        <f>HYPERLINK("https://www.geoportal.ch/ktsg/map/34?y=2761859&amp;x=1259317&amp;scale=2500&amp;topic=coord&amp;highlight=1&amp;label=Standort|Feuerverbotsplakat","Karte")</f>
        <v>Karte</v>
      </c>
    </row>
    <row r="334" spans="1:11" x14ac:dyDescent="0.2">
      <c r="A334" s="1" t="s">
        <v>425</v>
      </c>
      <c r="B334" s="1" t="s">
        <v>94</v>
      </c>
      <c r="C334" s="1" t="s">
        <v>9</v>
      </c>
      <c r="D334" s="2">
        <v>2162</v>
      </c>
      <c r="E334" s="1" t="s">
        <v>298</v>
      </c>
      <c r="F334" s="4">
        <v>2761846</v>
      </c>
      <c r="G334" s="4">
        <v>1259265</v>
      </c>
      <c r="H334" s="2">
        <v>0</v>
      </c>
      <c r="I334" s="5">
        <v>1</v>
      </c>
      <c r="J334" s="5">
        <v>0</v>
      </c>
      <c r="K334" s="11" t="str">
        <f>HYPERLINK("https://www.geoportal.ch/ktsg/map/34?y=2761846&amp;x=1259265&amp;scale=2500&amp;topic=coord&amp;highlight=1&amp;label=Standort|Feuerverbotsplakat","Karte")</f>
        <v>Karte</v>
      </c>
    </row>
    <row r="335" spans="1:11" x14ac:dyDescent="0.2">
      <c r="A335" s="1" t="s">
        <v>425</v>
      </c>
      <c r="B335" s="1" t="s">
        <v>107</v>
      </c>
      <c r="C335" s="1" t="s">
        <v>83</v>
      </c>
      <c r="D335" s="2">
        <v>2163</v>
      </c>
      <c r="E335" s="1" t="s">
        <v>360</v>
      </c>
      <c r="F335" s="4">
        <v>2758900</v>
      </c>
      <c r="G335" s="4">
        <v>1240900</v>
      </c>
      <c r="H335" s="2">
        <v>0</v>
      </c>
      <c r="I335" s="5">
        <v>0</v>
      </c>
      <c r="J335" s="5">
        <v>1</v>
      </c>
      <c r="K335" s="11" t="str">
        <f>HYPERLINK("https://www.geoportal.ch/ktsg/map/34?y=2758900&amp;x=1240900&amp;scale=2500&amp;topic=coord&amp;highlight=1&amp;label=Standort|Feuerverbotsplakat","Karte")</f>
        <v>Karte</v>
      </c>
    </row>
    <row r="336" spans="1:11" x14ac:dyDescent="0.2">
      <c r="A336" s="1" t="s">
        <v>425</v>
      </c>
      <c r="B336" s="1" t="s">
        <v>107</v>
      </c>
      <c r="C336" s="1" t="s">
        <v>83</v>
      </c>
      <c r="D336" s="2">
        <v>2164</v>
      </c>
      <c r="E336" s="1" t="s">
        <v>359</v>
      </c>
      <c r="F336" s="4">
        <v>2758775</v>
      </c>
      <c r="G336" s="4">
        <v>1241425</v>
      </c>
      <c r="H336" s="2">
        <v>0</v>
      </c>
      <c r="I336" s="5">
        <v>1</v>
      </c>
      <c r="J336" s="5">
        <v>0</v>
      </c>
      <c r="K336" s="11" t="str">
        <f>HYPERLINK("https://www.geoportal.ch/ktsg/map/34?y=2758775&amp;x=1241425&amp;scale=2500&amp;topic=coord&amp;highlight=1&amp;label=Standort|Feuerverbotsplakat","Karte")</f>
        <v>Karte</v>
      </c>
    </row>
    <row r="337" spans="1:11" x14ac:dyDescent="0.2">
      <c r="A337" s="1" t="s">
        <v>425</v>
      </c>
      <c r="B337" s="1" t="s">
        <v>107</v>
      </c>
      <c r="C337" s="1" t="s">
        <v>83</v>
      </c>
      <c r="D337" s="2">
        <v>2165</v>
      </c>
      <c r="E337" s="1" t="s">
        <v>358</v>
      </c>
      <c r="F337" s="4">
        <v>2757675</v>
      </c>
      <c r="G337" s="4">
        <v>1241150</v>
      </c>
      <c r="H337" s="2">
        <v>0</v>
      </c>
      <c r="I337" s="5">
        <v>1</v>
      </c>
      <c r="J337" s="5">
        <v>0</v>
      </c>
      <c r="K337" s="11" t="str">
        <f>HYPERLINK("https://www.geoportal.ch/ktsg/map/34?y=2757675&amp;x=1241150&amp;scale=2500&amp;topic=coord&amp;highlight=1&amp;label=Standort|Feuerverbotsplakat","Karte")</f>
        <v>Karte</v>
      </c>
    </row>
    <row r="338" spans="1:11" x14ac:dyDescent="0.2">
      <c r="A338" s="1" t="s">
        <v>425</v>
      </c>
      <c r="B338" s="1" t="s">
        <v>108</v>
      </c>
      <c r="C338" s="1" t="s">
        <v>9</v>
      </c>
      <c r="D338" s="2">
        <v>2166</v>
      </c>
      <c r="E338" s="1" t="s">
        <v>364</v>
      </c>
      <c r="F338" s="4">
        <v>2755850</v>
      </c>
      <c r="G338" s="4">
        <v>1235175</v>
      </c>
      <c r="H338" s="2">
        <v>0</v>
      </c>
      <c r="I338" s="5">
        <v>1</v>
      </c>
      <c r="J338" s="5">
        <v>0</v>
      </c>
      <c r="K338" s="11" t="str">
        <f>HYPERLINK("https://www.geoportal.ch/ktsg/map/34?y=2755850&amp;x=1235175&amp;scale=2500&amp;topic=coord&amp;highlight=1&amp;label=Standort|Feuerverbotsplakat","Karte")</f>
        <v>Karte</v>
      </c>
    </row>
    <row r="339" spans="1:11" x14ac:dyDescent="0.2">
      <c r="A339" s="1" t="s">
        <v>425</v>
      </c>
      <c r="B339" s="1" t="s">
        <v>108</v>
      </c>
      <c r="C339" s="1" t="s">
        <v>9</v>
      </c>
      <c r="D339" s="2">
        <v>2167</v>
      </c>
      <c r="E339" s="1" t="s">
        <v>363</v>
      </c>
      <c r="F339" s="4">
        <v>2755650</v>
      </c>
      <c r="G339" s="4">
        <v>1236720</v>
      </c>
      <c r="H339" s="2">
        <v>0</v>
      </c>
      <c r="I339" s="5">
        <v>1</v>
      </c>
      <c r="J339" s="5">
        <v>0</v>
      </c>
      <c r="K339" s="11" t="str">
        <f>HYPERLINK("https://www.geoportal.ch/ktsg/map/34?y=2755650&amp;x=1236720&amp;scale=2500&amp;topic=coord&amp;highlight=1&amp;label=Standort|Feuerverbotsplakat","Karte")</f>
        <v>Karte</v>
      </c>
    </row>
    <row r="340" spans="1:11" x14ac:dyDescent="0.2">
      <c r="A340" s="1" t="s">
        <v>425</v>
      </c>
      <c r="B340" s="1" t="s">
        <v>108</v>
      </c>
      <c r="C340" s="1" t="s">
        <v>9</v>
      </c>
      <c r="D340" s="2">
        <v>2168</v>
      </c>
      <c r="E340" s="1" t="s">
        <v>237</v>
      </c>
      <c r="F340" s="4">
        <v>2755180</v>
      </c>
      <c r="G340" s="4">
        <v>1236100</v>
      </c>
      <c r="H340" s="2">
        <v>0</v>
      </c>
      <c r="I340" s="5">
        <v>1</v>
      </c>
      <c r="J340" s="5">
        <v>0</v>
      </c>
      <c r="K340" s="11" t="str">
        <f>HYPERLINK("https://www.geoportal.ch/ktsg/map/34?y=2755180&amp;x=1236100&amp;scale=2500&amp;topic=coord&amp;highlight=1&amp;label=Standort|Feuerverbotsplakat","Karte")</f>
        <v>Karte</v>
      </c>
    </row>
    <row r="341" spans="1:11" x14ac:dyDescent="0.2">
      <c r="A341" s="1" t="s">
        <v>425</v>
      </c>
      <c r="B341" s="1" t="s">
        <v>108</v>
      </c>
      <c r="C341" s="1" t="s">
        <v>9</v>
      </c>
      <c r="D341" s="2">
        <v>2169</v>
      </c>
      <c r="E341" s="1" t="s">
        <v>429</v>
      </c>
      <c r="F341" s="4">
        <v>2753915</v>
      </c>
      <c r="G341" s="4">
        <v>1235050</v>
      </c>
      <c r="H341" s="2">
        <v>0</v>
      </c>
      <c r="I341" s="5">
        <v>1</v>
      </c>
      <c r="J341" s="5">
        <v>0</v>
      </c>
      <c r="K341" s="11" t="str">
        <f>HYPERLINK("https://www.geoportal.ch/ktsg/map/34?y=2753915&amp;x=1235050&amp;scale=2500&amp;topic=coord&amp;highlight=1&amp;label=Standort|Feuerverbotsplakat","Karte")</f>
        <v>Karte</v>
      </c>
    </row>
    <row r="342" spans="1:11" x14ac:dyDescent="0.2">
      <c r="A342" s="1" t="s">
        <v>425</v>
      </c>
      <c r="B342" s="1" t="s">
        <v>108</v>
      </c>
      <c r="C342" s="1" t="s">
        <v>9</v>
      </c>
      <c r="D342" s="2">
        <v>2170</v>
      </c>
      <c r="E342" s="1" t="s">
        <v>362</v>
      </c>
      <c r="F342" s="4">
        <v>2751280</v>
      </c>
      <c r="G342" s="4">
        <v>1233625</v>
      </c>
      <c r="H342" s="2">
        <v>0</v>
      </c>
      <c r="I342" s="5">
        <v>1</v>
      </c>
      <c r="J342" s="5">
        <v>0</v>
      </c>
      <c r="K342" s="11" t="str">
        <f>HYPERLINK("https://www.geoportal.ch/ktsg/map/34?y=2751280&amp;x=1233625&amp;scale=2500&amp;topic=coord&amp;highlight=1&amp;label=Standort|Feuerverbotsplakat","Karte")</f>
        <v>Karte</v>
      </c>
    </row>
    <row r="343" spans="1:11" x14ac:dyDescent="0.2">
      <c r="A343" s="1" t="s">
        <v>425</v>
      </c>
      <c r="B343" s="1" t="s">
        <v>108</v>
      </c>
      <c r="C343" s="1" t="s">
        <v>9</v>
      </c>
      <c r="D343" s="2">
        <v>2171</v>
      </c>
      <c r="E343" s="1" t="s">
        <v>361</v>
      </c>
      <c r="F343" s="4">
        <v>2751750</v>
      </c>
      <c r="G343" s="4">
        <v>1232980</v>
      </c>
      <c r="H343" s="2">
        <v>0</v>
      </c>
      <c r="I343" s="5">
        <v>1</v>
      </c>
      <c r="J343" s="5">
        <v>0</v>
      </c>
      <c r="K343" s="11" t="str">
        <f>HYPERLINK("https://www.geoportal.ch/ktsg/map/34?y=2751750&amp;x=1232980&amp;scale=2500&amp;topic=coord&amp;highlight=1&amp;label=Standort|Feuerverbotsplakat","Karte")</f>
        <v>Karte</v>
      </c>
    </row>
    <row r="344" spans="1:11" x14ac:dyDescent="0.2">
      <c r="A344" s="1" t="s">
        <v>425</v>
      </c>
      <c r="B344" s="1" t="s">
        <v>108</v>
      </c>
      <c r="C344" s="1" t="s">
        <v>9</v>
      </c>
      <c r="D344" s="2">
        <v>2172</v>
      </c>
      <c r="E344" s="1" t="s">
        <v>554</v>
      </c>
      <c r="F344" s="4">
        <v>2755181</v>
      </c>
      <c r="G344" s="4">
        <v>1236100</v>
      </c>
      <c r="H344" s="2">
        <v>0</v>
      </c>
      <c r="I344" s="5">
        <v>1</v>
      </c>
      <c r="J344" s="5">
        <v>0</v>
      </c>
      <c r="K344" s="11" t="str">
        <f>HYPERLINK("https://www.geoportal.ch/ktsg/map/34?y=2755181&amp;x=1236100&amp;scale=2500&amp;topic=coord&amp;highlight=1&amp;label=Standort|Feuerverbotsplakat","Karte")</f>
        <v>Karte</v>
      </c>
    </row>
    <row r="345" spans="1:11" x14ac:dyDescent="0.2">
      <c r="A345" s="1" t="s">
        <v>425</v>
      </c>
      <c r="B345" s="1" t="s">
        <v>113</v>
      </c>
      <c r="C345" s="1" t="s">
        <v>114</v>
      </c>
      <c r="D345" s="2">
        <v>2173</v>
      </c>
      <c r="E345" s="1" t="s">
        <v>400</v>
      </c>
      <c r="F345" s="4">
        <v>2755325</v>
      </c>
      <c r="G345" s="4">
        <v>1220752</v>
      </c>
      <c r="H345" s="2">
        <v>0</v>
      </c>
      <c r="I345" s="5">
        <v>1</v>
      </c>
      <c r="J345" s="5">
        <v>0</v>
      </c>
      <c r="K345" s="11" t="str">
        <f>HYPERLINK("https://www.geoportal.ch/ktsg/map/34?y=2755325&amp;x=1220752&amp;scale=2500&amp;topic=coord&amp;highlight=1&amp;label=Standort|Feuerverbotsplakat","Karte")</f>
        <v>Karte</v>
      </c>
    </row>
    <row r="346" spans="1:11" x14ac:dyDescent="0.2">
      <c r="A346" s="1" t="s">
        <v>425</v>
      </c>
      <c r="B346" s="1" t="s">
        <v>113</v>
      </c>
      <c r="C346" s="1" t="s">
        <v>114</v>
      </c>
      <c r="D346" s="2">
        <v>2174</v>
      </c>
      <c r="E346" s="1" t="s">
        <v>399</v>
      </c>
      <c r="F346" s="4">
        <v>2757303</v>
      </c>
      <c r="G346" s="4">
        <v>1220781</v>
      </c>
      <c r="H346" s="2">
        <v>0</v>
      </c>
      <c r="I346" s="5">
        <v>0</v>
      </c>
      <c r="J346" s="5">
        <v>1</v>
      </c>
      <c r="K346" s="11" t="str">
        <f>HYPERLINK("https://www.geoportal.ch/ktsg/map/34?y=2757303&amp;x=1220781&amp;scale=2500&amp;topic=coord&amp;highlight=1&amp;label=Standort|Feuerverbotsplakat","Karte")</f>
        <v>Karte</v>
      </c>
    </row>
    <row r="347" spans="1:11" x14ac:dyDescent="0.2">
      <c r="A347" s="1" t="s">
        <v>425</v>
      </c>
      <c r="B347" s="1" t="s">
        <v>113</v>
      </c>
      <c r="C347" s="1" t="s">
        <v>114</v>
      </c>
      <c r="D347" s="2">
        <v>2175</v>
      </c>
      <c r="E347" s="1" t="s">
        <v>398</v>
      </c>
      <c r="F347" s="4">
        <v>2755364</v>
      </c>
      <c r="G347" s="4">
        <v>1220250</v>
      </c>
      <c r="H347" s="2">
        <v>0</v>
      </c>
      <c r="I347" s="5">
        <v>1</v>
      </c>
      <c r="J347" s="5">
        <v>0</v>
      </c>
      <c r="K347" s="11" t="str">
        <f>HYPERLINK("https://www.geoportal.ch/ktsg/map/34?y=2755364&amp;x=1220250&amp;scale=2500&amp;topic=coord&amp;highlight=1&amp;label=Standort|Feuerverbotsplakat","Karte")</f>
        <v>Karte</v>
      </c>
    </row>
    <row r="348" spans="1:11" x14ac:dyDescent="0.2">
      <c r="A348" s="1" t="s">
        <v>425</v>
      </c>
      <c r="B348" s="1" t="s">
        <v>113</v>
      </c>
      <c r="C348" s="1" t="s">
        <v>114</v>
      </c>
      <c r="D348" s="2">
        <v>2176</v>
      </c>
      <c r="E348" s="1" t="s">
        <v>397</v>
      </c>
      <c r="F348" s="4">
        <v>2754976</v>
      </c>
      <c r="G348" s="4">
        <v>1220048</v>
      </c>
      <c r="H348" s="2">
        <v>0</v>
      </c>
      <c r="I348" s="5">
        <v>1</v>
      </c>
      <c r="J348" s="5">
        <v>0</v>
      </c>
      <c r="K348" s="11" t="str">
        <f>HYPERLINK("https://www.geoportal.ch/ktsg/map/34?y=2754976&amp;x=1220048&amp;scale=2500&amp;topic=coord&amp;highlight=1&amp;label=Standort|Feuerverbotsplakat","Karte")</f>
        <v>Karte</v>
      </c>
    </row>
    <row r="349" spans="1:11" x14ac:dyDescent="0.2">
      <c r="A349" s="1" t="s">
        <v>425</v>
      </c>
      <c r="B349" s="1" t="s">
        <v>113</v>
      </c>
      <c r="C349" s="1" t="s">
        <v>114</v>
      </c>
      <c r="D349" s="2">
        <v>2177</v>
      </c>
      <c r="E349" s="1" t="s">
        <v>396</v>
      </c>
      <c r="F349" s="4">
        <v>2754943</v>
      </c>
      <c r="G349" s="4">
        <v>1221375</v>
      </c>
      <c r="H349" s="2">
        <v>0</v>
      </c>
      <c r="I349" s="5">
        <v>0</v>
      </c>
      <c r="J349" s="5">
        <v>1</v>
      </c>
      <c r="K349" s="11" t="str">
        <f>HYPERLINK("https://www.geoportal.ch/ktsg/map/34?y=2754943&amp;x=1221375&amp;scale=2500&amp;topic=coord&amp;highlight=1&amp;label=Standort|Feuerverbotsplakat","Karte")</f>
        <v>Karte</v>
      </c>
    </row>
    <row r="350" spans="1:11" x14ac:dyDescent="0.2">
      <c r="A350" s="1" t="s">
        <v>425</v>
      </c>
      <c r="B350" s="1" t="s">
        <v>113</v>
      </c>
      <c r="C350" s="1" t="s">
        <v>114</v>
      </c>
      <c r="D350" s="2">
        <v>2178</v>
      </c>
      <c r="E350" s="1" t="s">
        <v>395</v>
      </c>
      <c r="F350" s="4">
        <v>2754487</v>
      </c>
      <c r="G350" s="4">
        <v>1222450</v>
      </c>
      <c r="H350" s="2">
        <v>0</v>
      </c>
      <c r="I350" s="5">
        <v>0</v>
      </c>
      <c r="J350" s="5">
        <v>1</v>
      </c>
      <c r="K350" s="11" t="str">
        <f>HYPERLINK("https://www.geoportal.ch/ktsg/map/34?y=2754487&amp;x=1222450&amp;scale=2500&amp;topic=coord&amp;highlight=1&amp;label=Standort|Feuerverbotsplakat","Karte")</f>
        <v>Karte</v>
      </c>
    </row>
    <row r="351" spans="1:11" x14ac:dyDescent="0.2">
      <c r="A351" s="1" t="s">
        <v>425</v>
      </c>
      <c r="B351" s="1" t="s">
        <v>113</v>
      </c>
      <c r="C351" s="1" t="s">
        <v>114</v>
      </c>
      <c r="D351" s="2">
        <v>2179</v>
      </c>
      <c r="E351" s="1" t="s">
        <v>394</v>
      </c>
      <c r="F351" s="4">
        <v>2754363</v>
      </c>
      <c r="G351" s="4">
        <v>1222434</v>
      </c>
      <c r="H351" s="2">
        <v>0</v>
      </c>
      <c r="I351" s="5">
        <v>1</v>
      </c>
      <c r="J351" s="5">
        <v>0</v>
      </c>
      <c r="K351" s="11" t="str">
        <f>HYPERLINK("https://www.geoportal.ch/ktsg/map/34?y=2754363&amp;x=1222434&amp;scale=2500&amp;topic=coord&amp;highlight=1&amp;label=Standort|Feuerverbotsplakat","Karte")</f>
        <v>Karte</v>
      </c>
    </row>
    <row r="352" spans="1:11" x14ac:dyDescent="0.2">
      <c r="A352" s="1" t="s">
        <v>425</v>
      </c>
      <c r="B352" s="1" t="s">
        <v>113</v>
      </c>
      <c r="C352" s="1" t="s">
        <v>114</v>
      </c>
      <c r="D352" s="2">
        <v>2180</v>
      </c>
      <c r="E352" s="1" t="s">
        <v>393</v>
      </c>
      <c r="F352" s="4">
        <v>2754798</v>
      </c>
      <c r="G352" s="4">
        <v>1223167</v>
      </c>
      <c r="H352" s="2">
        <v>0</v>
      </c>
      <c r="I352" s="5">
        <v>1</v>
      </c>
      <c r="J352" s="5">
        <v>0</v>
      </c>
      <c r="K352" s="11" t="str">
        <f>HYPERLINK("https://www.geoportal.ch/ktsg/map/34?y=2754798&amp;x=1223167&amp;scale=2500&amp;topic=coord&amp;highlight=1&amp;label=Standort|Feuerverbotsplakat","Karte")</f>
        <v>Karte</v>
      </c>
    </row>
    <row r="353" spans="1:11" x14ac:dyDescent="0.2">
      <c r="A353" s="1" t="s">
        <v>425</v>
      </c>
      <c r="B353" s="1" t="s">
        <v>113</v>
      </c>
      <c r="C353" s="1" t="s">
        <v>114</v>
      </c>
      <c r="D353" s="2">
        <v>2181</v>
      </c>
      <c r="E353" s="1" t="s">
        <v>392</v>
      </c>
      <c r="F353" s="4">
        <v>2753992</v>
      </c>
      <c r="G353" s="4">
        <v>1223564</v>
      </c>
      <c r="H353" s="2">
        <v>0</v>
      </c>
      <c r="I353" s="5">
        <v>1</v>
      </c>
      <c r="J353" s="5">
        <v>0</v>
      </c>
      <c r="K353" s="11" t="str">
        <f>HYPERLINK("https://www.geoportal.ch/ktsg/map/34?y=2753992&amp;x=1223564&amp;scale=2500&amp;topic=coord&amp;highlight=1&amp;label=Standort|Feuerverbotsplakat","Karte")</f>
        <v>Karte</v>
      </c>
    </row>
    <row r="354" spans="1:11" x14ac:dyDescent="0.2">
      <c r="A354" s="1" t="s">
        <v>425</v>
      </c>
      <c r="B354" s="1" t="s">
        <v>113</v>
      </c>
      <c r="C354" s="1" t="s">
        <v>114</v>
      </c>
      <c r="D354" s="2">
        <v>2182</v>
      </c>
      <c r="E354" s="1" t="s">
        <v>391</v>
      </c>
      <c r="F354" s="4">
        <v>2753679</v>
      </c>
      <c r="G354" s="4">
        <v>1221683</v>
      </c>
      <c r="H354" s="2">
        <v>0</v>
      </c>
      <c r="I354" s="5">
        <v>1</v>
      </c>
      <c r="J354" s="5">
        <v>0</v>
      </c>
      <c r="K354" s="11" t="str">
        <f>HYPERLINK("https://www.geoportal.ch/ktsg/map/34?y=2753679&amp;x=1221683&amp;scale=2500&amp;topic=coord&amp;highlight=1&amp;label=Standort|Feuerverbotsplakat","Karte")</f>
        <v>Karte</v>
      </c>
    </row>
    <row r="355" spans="1:11" x14ac:dyDescent="0.2">
      <c r="A355" s="1" t="s">
        <v>425</v>
      </c>
      <c r="B355" s="1" t="s">
        <v>113</v>
      </c>
      <c r="C355" s="1" t="s">
        <v>114</v>
      </c>
      <c r="D355" s="2">
        <v>2183</v>
      </c>
      <c r="E355" s="1" t="s">
        <v>390</v>
      </c>
      <c r="F355" s="4">
        <v>2753787</v>
      </c>
      <c r="G355" s="4">
        <v>1220998</v>
      </c>
      <c r="H355" s="2">
        <v>0</v>
      </c>
      <c r="I355" s="5">
        <v>1</v>
      </c>
      <c r="J355" s="5">
        <v>0</v>
      </c>
      <c r="K355" s="11" t="str">
        <f>HYPERLINK("https://www.geoportal.ch/ktsg/map/34?y=2753787&amp;x=1220998&amp;scale=2500&amp;topic=coord&amp;highlight=1&amp;label=Standort|Feuerverbotsplakat","Karte")</f>
        <v>Karte</v>
      </c>
    </row>
    <row r="356" spans="1:11" x14ac:dyDescent="0.2">
      <c r="A356" s="1" t="s">
        <v>425</v>
      </c>
      <c r="B356" s="1" t="s">
        <v>95</v>
      </c>
      <c r="C356" s="1" t="s">
        <v>9</v>
      </c>
      <c r="D356" s="2">
        <v>2184</v>
      </c>
      <c r="E356" s="1" t="s">
        <v>639</v>
      </c>
      <c r="F356" s="4">
        <v>2764822</v>
      </c>
      <c r="G356" s="4">
        <v>1257542</v>
      </c>
      <c r="H356" s="2">
        <v>0</v>
      </c>
      <c r="I356" s="5">
        <v>1</v>
      </c>
      <c r="J356" s="5">
        <v>0</v>
      </c>
      <c r="K356" s="11" t="str">
        <f>HYPERLINK("https://www.geoportal.ch/ktsg/map/34?y=2764822&amp;x=1257542&amp;scale=2500&amp;topic=coord&amp;highlight=1&amp;label=Standort|Feuerverbotsplakat","Karte")</f>
        <v>Karte</v>
      </c>
    </row>
    <row r="357" spans="1:11" x14ac:dyDescent="0.2">
      <c r="A357" s="1" t="s">
        <v>425</v>
      </c>
      <c r="B357" s="1" t="s">
        <v>95</v>
      </c>
      <c r="C357" s="1" t="s">
        <v>9</v>
      </c>
      <c r="D357" s="2">
        <v>2185</v>
      </c>
      <c r="E357" s="1" t="s">
        <v>308</v>
      </c>
      <c r="F357" s="4">
        <v>2765800</v>
      </c>
      <c r="G357" s="4">
        <v>1257041</v>
      </c>
      <c r="H357" s="2">
        <v>0</v>
      </c>
      <c r="I357" s="5">
        <v>0</v>
      </c>
      <c r="J357" s="5">
        <v>1</v>
      </c>
      <c r="K357" s="11" t="str">
        <f>HYPERLINK("https://www.geoportal.ch/ktsg/map/34?y=2765800&amp;x=1257041&amp;scale=2500&amp;topic=coord&amp;highlight=1&amp;label=Standort|Feuerverbotsplakat","Karte")</f>
        <v>Karte</v>
      </c>
    </row>
    <row r="358" spans="1:11" x14ac:dyDescent="0.2">
      <c r="A358" s="1" t="s">
        <v>425</v>
      </c>
      <c r="B358" s="1" t="s">
        <v>95</v>
      </c>
      <c r="C358" s="1" t="s">
        <v>9</v>
      </c>
      <c r="D358" s="2">
        <v>2186</v>
      </c>
      <c r="E358" s="1" t="s">
        <v>640</v>
      </c>
      <c r="F358" s="4">
        <v>2763902</v>
      </c>
      <c r="G358" s="4">
        <v>1258014</v>
      </c>
      <c r="H358" s="2">
        <v>0</v>
      </c>
      <c r="I358" s="5">
        <v>1</v>
      </c>
      <c r="J358" s="5">
        <v>0</v>
      </c>
      <c r="K358" s="11" t="str">
        <f>HYPERLINK("https://www.geoportal.ch/ktsg/map/34?y=2763902&amp;x=1258014&amp;scale=2500&amp;topic=coord&amp;highlight=1&amp;label=Standort|Feuerverbotsplakat","Karte")</f>
        <v>Karte</v>
      </c>
    </row>
    <row r="359" spans="1:11" x14ac:dyDescent="0.2">
      <c r="A359" s="1" t="s">
        <v>425</v>
      </c>
      <c r="B359" s="1" t="s">
        <v>95</v>
      </c>
      <c r="C359" s="1" t="s">
        <v>9</v>
      </c>
      <c r="D359" s="2">
        <v>2187</v>
      </c>
      <c r="E359" s="1" t="s">
        <v>307</v>
      </c>
      <c r="F359" s="4">
        <v>2763709</v>
      </c>
      <c r="G359" s="4">
        <v>1259953</v>
      </c>
      <c r="H359" s="2">
        <v>0</v>
      </c>
      <c r="I359" s="5">
        <v>1</v>
      </c>
      <c r="J359" s="5">
        <v>0</v>
      </c>
      <c r="K359" s="11" t="str">
        <f>HYPERLINK("https://www.geoportal.ch/ktsg/map/34?y=2763709&amp;x=1259953&amp;scale=2500&amp;topic=coord&amp;highlight=1&amp;label=Standort|Feuerverbotsplakat","Karte")</f>
        <v>Karte</v>
      </c>
    </row>
    <row r="360" spans="1:11" x14ac:dyDescent="0.2">
      <c r="A360" s="1" t="s">
        <v>425</v>
      </c>
      <c r="B360" s="1" t="s">
        <v>95</v>
      </c>
      <c r="C360" s="1" t="s">
        <v>9</v>
      </c>
      <c r="D360" s="2">
        <v>2188</v>
      </c>
      <c r="E360" s="1" t="s">
        <v>306</v>
      </c>
      <c r="F360" s="4">
        <v>2763517</v>
      </c>
      <c r="G360" s="4">
        <v>1259686</v>
      </c>
      <c r="H360" s="2">
        <v>0</v>
      </c>
      <c r="I360" s="5">
        <v>1</v>
      </c>
      <c r="J360" s="5">
        <v>0</v>
      </c>
      <c r="K360" s="11" t="str">
        <f>HYPERLINK("https://www.geoportal.ch/ktsg/map/34?y=2763517&amp;x=1259686&amp;scale=2500&amp;topic=coord&amp;highlight=1&amp;label=Standort|Feuerverbotsplakat","Karte")</f>
        <v>Karte</v>
      </c>
    </row>
    <row r="361" spans="1:11" x14ac:dyDescent="0.2">
      <c r="A361" s="1" t="s">
        <v>425</v>
      </c>
      <c r="B361" s="1" t="s">
        <v>95</v>
      </c>
      <c r="C361" s="1" t="s">
        <v>9</v>
      </c>
      <c r="D361" s="2">
        <v>2189</v>
      </c>
      <c r="E361" s="1" t="s">
        <v>305</v>
      </c>
      <c r="F361" s="4">
        <v>2763836</v>
      </c>
      <c r="G361" s="4">
        <v>1259658</v>
      </c>
      <c r="H361" s="2">
        <v>0</v>
      </c>
      <c r="I361" s="5">
        <v>1</v>
      </c>
      <c r="J361" s="5">
        <v>0</v>
      </c>
      <c r="K361" s="11" t="str">
        <f>HYPERLINK("https://www.geoportal.ch/ktsg/map/34?y=2763836&amp;x=1259658&amp;scale=2500&amp;topic=coord&amp;highlight=1&amp;label=Standort|Feuerverbotsplakat","Karte")</f>
        <v>Karte</v>
      </c>
    </row>
    <row r="362" spans="1:11" x14ac:dyDescent="0.2">
      <c r="A362" s="1" t="s">
        <v>425</v>
      </c>
      <c r="B362" s="1" t="s">
        <v>95</v>
      </c>
      <c r="C362" s="1" t="s">
        <v>9</v>
      </c>
      <c r="D362" s="2">
        <v>2190</v>
      </c>
      <c r="E362" s="1" t="s">
        <v>200</v>
      </c>
      <c r="F362" s="4">
        <v>2765700</v>
      </c>
      <c r="G362" s="4">
        <v>1257908</v>
      </c>
      <c r="H362" s="2">
        <v>0</v>
      </c>
      <c r="I362" s="5">
        <v>1</v>
      </c>
      <c r="J362" s="5">
        <v>0</v>
      </c>
      <c r="K362" s="11" t="str">
        <f>HYPERLINK("https://www.geoportal.ch/ktsg/map/34?y=2765700&amp;x=1257908&amp;scale=2500&amp;topic=coord&amp;highlight=1&amp;label=Standort|Feuerverbotsplakat","Karte")</f>
        <v>Karte</v>
      </c>
    </row>
    <row r="363" spans="1:11" x14ac:dyDescent="0.2">
      <c r="A363" s="1" t="s">
        <v>425</v>
      </c>
      <c r="B363" s="1" t="s">
        <v>93</v>
      </c>
      <c r="C363" s="1" t="s">
        <v>9</v>
      </c>
      <c r="D363" s="2">
        <v>2191</v>
      </c>
      <c r="E363" s="1" t="s">
        <v>641</v>
      </c>
      <c r="F363" s="4">
        <v>2759868</v>
      </c>
      <c r="G363" s="4">
        <v>1262892</v>
      </c>
      <c r="H363" s="2">
        <v>0</v>
      </c>
      <c r="I363" s="5">
        <v>1</v>
      </c>
      <c r="J363" s="5">
        <v>0</v>
      </c>
      <c r="K363" s="11" t="str">
        <f>HYPERLINK("https://www.geoportal.ch/ktsg/map/34?y=2759868&amp;x=1262892&amp;scale=2500&amp;topic=coord&amp;highlight=1&amp;label=Standort|Feuerverbotsplakat","Karte")</f>
        <v>Karte</v>
      </c>
    </row>
    <row r="364" spans="1:11" x14ac:dyDescent="0.2">
      <c r="A364" s="1" t="s">
        <v>425</v>
      </c>
      <c r="B364" s="1" t="s">
        <v>93</v>
      </c>
      <c r="C364" s="1" t="s">
        <v>9</v>
      </c>
      <c r="D364" s="2">
        <v>2192</v>
      </c>
      <c r="E364" s="1" t="s">
        <v>642</v>
      </c>
      <c r="F364" s="4">
        <v>2759643</v>
      </c>
      <c r="G364" s="4">
        <v>1262561</v>
      </c>
      <c r="H364" s="2">
        <v>0</v>
      </c>
      <c r="I364" s="5">
        <v>1</v>
      </c>
      <c r="J364" s="5">
        <v>0</v>
      </c>
      <c r="K364" s="11" t="str">
        <f>HYPERLINK("https://www.geoportal.ch/ktsg/map/34?y=2759643&amp;x=1262561&amp;scale=2500&amp;topic=coord&amp;highlight=1&amp;label=Standort|Feuerverbotsplakat","Karte")</f>
        <v>Karte</v>
      </c>
    </row>
    <row r="365" spans="1:11" x14ac:dyDescent="0.2">
      <c r="A365" s="1" t="s">
        <v>425</v>
      </c>
      <c r="B365" s="1" t="s">
        <v>93</v>
      </c>
      <c r="C365" s="1" t="s">
        <v>9</v>
      </c>
      <c r="D365" s="2">
        <v>2193</v>
      </c>
      <c r="E365" s="1" t="s">
        <v>643</v>
      </c>
      <c r="F365" s="4">
        <v>2759294</v>
      </c>
      <c r="G365" s="4">
        <v>1262295</v>
      </c>
      <c r="H365" s="2">
        <v>0</v>
      </c>
      <c r="I365" s="5">
        <v>1</v>
      </c>
      <c r="J365" s="5">
        <v>0</v>
      </c>
      <c r="K365" s="11" t="str">
        <f>HYPERLINK("https://www.geoportal.ch/ktsg/map/34?y=2759294&amp;x=1262295&amp;scale=2500&amp;topic=coord&amp;highlight=1&amp;label=Standort|Feuerverbotsplakat","Karte")</f>
        <v>Karte</v>
      </c>
    </row>
    <row r="366" spans="1:11" x14ac:dyDescent="0.2">
      <c r="A366" s="1" t="s">
        <v>425</v>
      </c>
      <c r="B366" s="1" t="s">
        <v>93</v>
      </c>
      <c r="C366" s="1" t="s">
        <v>9</v>
      </c>
      <c r="D366" s="2">
        <v>2194</v>
      </c>
      <c r="E366" s="1" t="s">
        <v>430</v>
      </c>
      <c r="F366" s="4">
        <v>2758676</v>
      </c>
      <c r="G366" s="4">
        <v>1261586</v>
      </c>
      <c r="H366" s="2">
        <v>0</v>
      </c>
      <c r="I366" s="5">
        <v>1</v>
      </c>
      <c r="J366" s="5">
        <v>0</v>
      </c>
      <c r="K366" s="11" t="str">
        <f>HYPERLINK("https://www.geoportal.ch/ktsg/map/34?y=2758676&amp;x=1261586&amp;scale=2500&amp;topic=coord&amp;highlight=1&amp;label=Standort|Feuerverbotsplakat","Karte")</f>
        <v>Karte</v>
      </c>
    </row>
    <row r="367" spans="1:11" x14ac:dyDescent="0.2">
      <c r="A367" s="1" t="s">
        <v>425</v>
      </c>
      <c r="B367" s="1" t="s">
        <v>93</v>
      </c>
      <c r="C367" s="1" t="s">
        <v>9</v>
      </c>
      <c r="D367" s="2">
        <v>2195</v>
      </c>
      <c r="E367" s="1" t="s">
        <v>431</v>
      </c>
      <c r="F367" s="4">
        <v>2760386</v>
      </c>
      <c r="G367" s="4">
        <v>1262057</v>
      </c>
      <c r="H367" s="2">
        <v>0</v>
      </c>
      <c r="I367" s="5">
        <v>1</v>
      </c>
      <c r="J367" s="5">
        <v>0</v>
      </c>
      <c r="K367" s="11" t="str">
        <f>HYPERLINK("https://www.geoportal.ch/ktsg/map/34?y=2760386&amp;x=1262057&amp;scale=2500&amp;topic=coord&amp;highlight=1&amp;label=Standort|Feuerverbotsplakat","Karte")</f>
        <v>Karte</v>
      </c>
    </row>
    <row r="368" spans="1:11" x14ac:dyDescent="0.2">
      <c r="A368" s="1" t="s">
        <v>425</v>
      </c>
      <c r="B368" s="1" t="s">
        <v>93</v>
      </c>
      <c r="C368" s="1" t="s">
        <v>9</v>
      </c>
      <c r="D368" s="2">
        <v>2196</v>
      </c>
      <c r="E368" s="1" t="s">
        <v>432</v>
      </c>
      <c r="F368" s="4">
        <v>2759227</v>
      </c>
      <c r="G368" s="4">
        <v>1261045</v>
      </c>
      <c r="H368" s="2">
        <v>0</v>
      </c>
      <c r="I368" s="5">
        <v>1</v>
      </c>
      <c r="J368" s="5">
        <v>0</v>
      </c>
      <c r="K368" s="11" t="str">
        <f>HYPERLINK("https://www.geoportal.ch/ktsg/map/34?y=2759227&amp;x=1261045&amp;scale=2500&amp;topic=coord&amp;highlight=1&amp;label=Standort|Feuerverbotsplakat","Karte")</f>
        <v>Karte</v>
      </c>
    </row>
    <row r="369" spans="1:11" x14ac:dyDescent="0.2">
      <c r="A369" s="1" t="s">
        <v>425</v>
      </c>
      <c r="B369" s="1" t="s">
        <v>93</v>
      </c>
      <c r="C369" s="1" t="s">
        <v>9</v>
      </c>
      <c r="D369" s="2">
        <v>2197</v>
      </c>
      <c r="E369" s="1" t="s">
        <v>645</v>
      </c>
      <c r="F369" s="4">
        <v>2759708</v>
      </c>
      <c r="G369" s="4">
        <v>1260089</v>
      </c>
      <c r="H369" s="2">
        <v>0</v>
      </c>
      <c r="I369" s="5">
        <v>1</v>
      </c>
      <c r="J369" s="5">
        <v>0</v>
      </c>
      <c r="K369" s="11" t="str">
        <f>HYPERLINK("https://www.geoportal.ch/ktsg/map/34?y=2759708&amp;x=1260089&amp;scale=2500&amp;topic=coord&amp;highlight=1&amp;label=Standort|Feuerverbotsplakat","Karte")</f>
        <v>Karte</v>
      </c>
    </row>
    <row r="370" spans="1:11" x14ac:dyDescent="0.2">
      <c r="A370" s="1" t="s">
        <v>425</v>
      </c>
      <c r="B370" s="1" t="s">
        <v>93</v>
      </c>
      <c r="C370" s="1" t="s">
        <v>9</v>
      </c>
      <c r="D370" s="2">
        <v>2198</v>
      </c>
      <c r="E370" s="1" t="s">
        <v>644</v>
      </c>
      <c r="F370" s="4">
        <v>2759943</v>
      </c>
      <c r="G370" s="4">
        <v>1260104</v>
      </c>
      <c r="H370" s="2">
        <v>0</v>
      </c>
      <c r="I370" s="5">
        <v>1</v>
      </c>
      <c r="J370" s="5">
        <v>0</v>
      </c>
      <c r="K370" s="11" t="str">
        <f>HYPERLINK("https://www.geoportal.ch/ktsg/map/34?y=2759943&amp;x=1260104&amp;scale=2500&amp;topic=coord&amp;highlight=1&amp;label=Standort|Feuerverbotsplakat","Karte")</f>
        <v>Karte</v>
      </c>
    </row>
    <row r="371" spans="1:11" x14ac:dyDescent="0.2">
      <c r="A371" s="1" t="s">
        <v>425</v>
      </c>
      <c r="B371" s="1" t="s">
        <v>93</v>
      </c>
      <c r="C371" s="1" t="s">
        <v>9</v>
      </c>
      <c r="D371" s="2">
        <v>2199</v>
      </c>
      <c r="E371" s="1" t="s">
        <v>646</v>
      </c>
      <c r="F371" s="4">
        <v>2758097</v>
      </c>
      <c r="G371" s="4">
        <v>1260021</v>
      </c>
      <c r="H371" s="2">
        <v>0</v>
      </c>
      <c r="I371" s="5">
        <v>0</v>
      </c>
      <c r="J371" s="5">
        <v>1</v>
      </c>
      <c r="K371" s="11" t="str">
        <f>HYPERLINK("https://www.geoportal.ch/ktsg/map/34?y=2758097&amp;x=1260021&amp;scale=2500&amp;topic=coord&amp;highlight=1&amp;label=Standort|Feuerverbotsplakat","Karte")</f>
        <v>Karte</v>
      </c>
    </row>
    <row r="372" spans="1:11" x14ac:dyDescent="0.2">
      <c r="A372" s="1" t="s">
        <v>425</v>
      </c>
      <c r="B372" s="1" t="s">
        <v>492</v>
      </c>
      <c r="C372" s="1" t="s">
        <v>564</v>
      </c>
      <c r="D372" s="2">
        <v>2200</v>
      </c>
      <c r="E372" s="1" t="s">
        <v>555</v>
      </c>
      <c r="F372" s="4">
        <v>2754129</v>
      </c>
      <c r="G372" s="4">
        <v>1214836</v>
      </c>
      <c r="H372" s="2">
        <v>0</v>
      </c>
      <c r="I372" s="5">
        <v>1</v>
      </c>
      <c r="J372" s="5">
        <v>0</v>
      </c>
      <c r="K372" s="11" t="str">
        <f>HYPERLINK("https://www.geoportal.ch/ktsg/map/34?y=2754129&amp;x=1214836&amp;scale=2500&amp;topic=coord&amp;highlight=1&amp;label=Standort|Feuerverbotsplakat","Karte")</f>
        <v>Karte</v>
      </c>
    </row>
    <row r="373" spans="1:11" x14ac:dyDescent="0.2">
      <c r="A373" s="1" t="s">
        <v>425</v>
      </c>
      <c r="B373" s="1" t="s">
        <v>492</v>
      </c>
      <c r="C373" s="1" t="s">
        <v>564</v>
      </c>
      <c r="D373" s="2">
        <v>2201</v>
      </c>
      <c r="E373" s="1" t="s">
        <v>647</v>
      </c>
      <c r="F373" s="4">
        <v>2754282</v>
      </c>
      <c r="G373" s="4">
        <v>1215143</v>
      </c>
      <c r="H373" s="2">
        <v>0</v>
      </c>
      <c r="I373" s="5">
        <v>1</v>
      </c>
      <c r="J373" s="5">
        <v>0</v>
      </c>
      <c r="K373" s="11" t="str">
        <f>HYPERLINK("https://www.geoportal.ch/ktsg/map/34?y=2754282&amp;x=1215143&amp;scale=2500&amp;topic=coord&amp;highlight=1&amp;label=Standort|Feuerverbotsplakat","Karte")</f>
        <v>Karte</v>
      </c>
    </row>
    <row r="374" spans="1:11" x14ac:dyDescent="0.2">
      <c r="A374" s="1" t="s">
        <v>425</v>
      </c>
      <c r="B374" s="1" t="s">
        <v>492</v>
      </c>
      <c r="C374" s="1" t="s">
        <v>564</v>
      </c>
      <c r="D374" s="2">
        <v>2202</v>
      </c>
      <c r="E374" s="1" t="s">
        <v>493</v>
      </c>
      <c r="F374" s="4">
        <v>2754168</v>
      </c>
      <c r="G374" s="4">
        <v>1215826</v>
      </c>
      <c r="H374" s="2">
        <v>0</v>
      </c>
      <c r="I374" s="5">
        <v>1</v>
      </c>
      <c r="J374" s="5">
        <v>0</v>
      </c>
      <c r="K374" s="11" t="str">
        <f>HYPERLINK("https://www.geoportal.ch/ktsg/map/34?y=2754168&amp;x=1215826&amp;scale=2500&amp;topic=coord&amp;highlight=1&amp;label=Standort|Feuerverbotsplakat","Karte")</f>
        <v>Karte</v>
      </c>
    </row>
    <row r="375" spans="1:11" x14ac:dyDescent="0.2">
      <c r="A375" s="1" t="s">
        <v>425</v>
      </c>
      <c r="B375" s="1" t="s">
        <v>492</v>
      </c>
      <c r="C375" s="1" t="s">
        <v>564</v>
      </c>
      <c r="D375" s="2">
        <v>2203</v>
      </c>
      <c r="E375" s="1" t="s">
        <v>648</v>
      </c>
      <c r="F375" s="4">
        <v>2757167</v>
      </c>
      <c r="G375" s="4">
        <v>1218154</v>
      </c>
      <c r="H375" s="2">
        <v>0</v>
      </c>
      <c r="I375" s="5">
        <v>2</v>
      </c>
      <c r="J375" s="5">
        <v>0</v>
      </c>
      <c r="K375" s="11" t="str">
        <f>HYPERLINK("https://www.geoportal.ch/ktsg/map/34?y=2757167&amp;x=1218154&amp;scale=2500&amp;topic=coord&amp;highlight=1&amp;label=Standort|Feuerverbotsplakat","Karte")</f>
        <v>Karte</v>
      </c>
    </row>
    <row r="376" spans="1:11" x14ac:dyDescent="0.2">
      <c r="A376" s="1" t="s">
        <v>425</v>
      </c>
      <c r="B376" s="1" t="s">
        <v>492</v>
      </c>
      <c r="C376" s="1" t="s">
        <v>564</v>
      </c>
      <c r="D376" s="2">
        <v>2204</v>
      </c>
      <c r="E376" s="1" t="s">
        <v>494</v>
      </c>
      <c r="F376" s="4">
        <v>2757548</v>
      </c>
      <c r="G376" s="4">
        <v>1217947</v>
      </c>
      <c r="H376" s="2">
        <v>0</v>
      </c>
      <c r="I376" s="5">
        <v>1</v>
      </c>
      <c r="J376" s="5">
        <v>0</v>
      </c>
      <c r="K376" s="11" t="str">
        <f>HYPERLINK("https://www.geoportal.ch/ktsg/map/34?y=2757548&amp;x=1217947&amp;scale=2500&amp;topic=coord&amp;highlight=1&amp;label=Standort|Feuerverbotsplakat","Karte")</f>
        <v>Karte</v>
      </c>
    </row>
    <row r="377" spans="1:11" x14ac:dyDescent="0.2">
      <c r="A377" s="1" t="s">
        <v>425</v>
      </c>
      <c r="B377" s="1" t="s">
        <v>492</v>
      </c>
      <c r="C377" s="1" t="s">
        <v>564</v>
      </c>
      <c r="D377" s="2">
        <v>2205</v>
      </c>
      <c r="E377" s="1" t="s">
        <v>495</v>
      </c>
      <c r="F377" s="4">
        <v>2756734</v>
      </c>
      <c r="G377" s="4">
        <v>1218822</v>
      </c>
      <c r="H377" s="2">
        <v>0</v>
      </c>
      <c r="I377" s="5">
        <v>1</v>
      </c>
      <c r="J377" s="5">
        <v>0</v>
      </c>
      <c r="K377" s="11" t="str">
        <f>HYPERLINK("https://www.geoportal.ch/ktsg/map/34?y=2756734&amp;x=1218822&amp;scale=2500&amp;topic=coord&amp;highlight=1&amp;label=Standort|Feuerverbotsplakat","Karte")</f>
        <v>Karte</v>
      </c>
    </row>
    <row r="378" spans="1:11" x14ac:dyDescent="0.2">
      <c r="A378" s="1" t="s">
        <v>425</v>
      </c>
      <c r="B378" s="1" t="s">
        <v>492</v>
      </c>
      <c r="C378" s="1" t="s">
        <v>564</v>
      </c>
      <c r="D378" s="2">
        <v>2206</v>
      </c>
      <c r="E378" s="1" t="s">
        <v>496</v>
      </c>
      <c r="F378" s="4">
        <v>2755762</v>
      </c>
      <c r="G378" s="4">
        <v>1218435</v>
      </c>
      <c r="H378" s="2">
        <v>0</v>
      </c>
      <c r="I378" s="5">
        <v>1</v>
      </c>
      <c r="J378" s="5">
        <v>0</v>
      </c>
      <c r="K378" s="11" t="str">
        <f>HYPERLINK("https://www.geoportal.ch/ktsg/map/34?y=2755762&amp;x=1218435&amp;scale=2500&amp;topic=coord&amp;highlight=1&amp;label=Standort|Feuerverbotsplakat","Karte")</f>
        <v>Karte</v>
      </c>
    </row>
    <row r="379" spans="1:11" x14ac:dyDescent="0.2">
      <c r="A379" s="1" t="s">
        <v>425</v>
      </c>
      <c r="B379" s="1" t="s">
        <v>492</v>
      </c>
      <c r="C379" s="1" t="s">
        <v>564</v>
      </c>
      <c r="D379" s="2">
        <v>2207</v>
      </c>
      <c r="E379" s="1" t="s">
        <v>497</v>
      </c>
      <c r="F379" s="4">
        <v>2755743</v>
      </c>
      <c r="G379" s="4">
        <v>1219008</v>
      </c>
      <c r="H379" s="2">
        <v>0</v>
      </c>
      <c r="I379" s="5">
        <v>1</v>
      </c>
      <c r="J379" s="5">
        <v>0</v>
      </c>
      <c r="K379" s="11" t="str">
        <f>HYPERLINK("https://www.geoportal.ch/ktsg/map/34?y=2755743&amp;x=1219008&amp;scale=2500&amp;topic=coord&amp;highlight=1&amp;label=Standort|Feuerverbotsplakat","Karte")</f>
        <v>Karte</v>
      </c>
    </row>
    <row r="380" spans="1:11" x14ac:dyDescent="0.2">
      <c r="A380" s="1" t="s">
        <v>425</v>
      </c>
      <c r="B380" s="1" t="s">
        <v>492</v>
      </c>
      <c r="C380" s="1" t="s">
        <v>564</v>
      </c>
      <c r="D380" s="2">
        <v>2208</v>
      </c>
      <c r="E380" s="1" t="s">
        <v>649</v>
      </c>
      <c r="F380" s="4">
        <v>2755410</v>
      </c>
      <c r="G380" s="4">
        <v>1218763</v>
      </c>
      <c r="H380" s="2">
        <v>0</v>
      </c>
      <c r="I380" s="5">
        <v>0</v>
      </c>
      <c r="J380" s="5">
        <v>0</v>
      </c>
      <c r="K380" s="11" t="str">
        <f>HYPERLINK("https://www.geoportal.ch/ktsg/map/34?y=2755410&amp;x=1218763&amp;scale=2500&amp;topic=coord&amp;highlight=1&amp;label=Standort|Feuerverbotsplakat","Karte")</f>
        <v>Karte</v>
      </c>
    </row>
    <row r="381" spans="1:11" x14ac:dyDescent="0.2">
      <c r="A381" s="1" t="s">
        <v>425</v>
      </c>
      <c r="B381" s="1" t="s">
        <v>492</v>
      </c>
      <c r="C381" s="1" t="s">
        <v>564</v>
      </c>
      <c r="D381" s="2">
        <v>2209</v>
      </c>
      <c r="E381" s="1" t="s">
        <v>556</v>
      </c>
      <c r="F381" s="4">
        <v>2755235</v>
      </c>
      <c r="G381" s="4">
        <v>1218889</v>
      </c>
      <c r="H381" s="2">
        <v>0</v>
      </c>
      <c r="I381" s="5">
        <v>1</v>
      </c>
      <c r="J381" s="5">
        <v>0</v>
      </c>
      <c r="K381" s="11" t="str">
        <f>HYPERLINK("https://www.geoportal.ch/ktsg/map/34?y=2755235&amp;x=1218889&amp;scale=2500&amp;topic=coord&amp;highlight=1&amp;label=Standort|Feuerverbotsplakat","Karte")</f>
        <v>Karte</v>
      </c>
    </row>
    <row r="382" spans="1:11" x14ac:dyDescent="0.2">
      <c r="A382" s="1" t="s">
        <v>425</v>
      </c>
      <c r="B382" s="1" t="s">
        <v>492</v>
      </c>
      <c r="C382" s="1" t="s">
        <v>564</v>
      </c>
      <c r="D382" s="2">
        <v>2210</v>
      </c>
      <c r="E382" s="1" t="s">
        <v>557</v>
      </c>
      <c r="F382" s="4">
        <v>2754451</v>
      </c>
      <c r="G382" s="4">
        <v>1218343</v>
      </c>
      <c r="H382" s="5">
        <v>0</v>
      </c>
      <c r="I382" s="5">
        <v>1</v>
      </c>
      <c r="J382" s="5">
        <v>0</v>
      </c>
      <c r="K382" s="11" t="str">
        <f>HYPERLINK("https://www.geoportal.ch/ktsg/map/34?y=2754451&amp;x=1218343&amp;scale=2500&amp;topic=coord&amp;highlight=1&amp;label=Standort|Feuerverbotsplakat","Karte")</f>
        <v>Karte</v>
      </c>
    </row>
    <row r="383" spans="1:11" x14ac:dyDescent="0.2">
      <c r="A383" s="1" t="s">
        <v>425</v>
      </c>
      <c r="B383" s="1" t="s">
        <v>492</v>
      </c>
      <c r="C383" s="1" t="s">
        <v>564</v>
      </c>
      <c r="D383" s="2">
        <v>2211</v>
      </c>
      <c r="E383" s="1" t="s">
        <v>558</v>
      </c>
      <c r="F383" s="4">
        <v>2754017</v>
      </c>
      <c r="G383" s="4">
        <v>1218637</v>
      </c>
      <c r="H383" s="2">
        <v>0</v>
      </c>
      <c r="I383" s="5">
        <v>1</v>
      </c>
      <c r="J383" s="5">
        <v>0</v>
      </c>
      <c r="K383" s="11" t="str">
        <f>HYPERLINK("https://www.geoportal.ch/ktsg/map/34?y=2754017&amp;x=1218637&amp;scale=2500&amp;topic=coord&amp;highlight=1&amp;label=Standort|Feuerverbotsplakat","Karte")</f>
        <v>Karte</v>
      </c>
    </row>
    <row r="384" spans="1:11" x14ac:dyDescent="0.2">
      <c r="A384" s="1" t="s">
        <v>425</v>
      </c>
      <c r="B384" s="1" t="s">
        <v>492</v>
      </c>
      <c r="C384" s="1" t="s">
        <v>564</v>
      </c>
      <c r="D384" s="2">
        <v>2212</v>
      </c>
      <c r="E384" s="1" t="s">
        <v>498</v>
      </c>
      <c r="F384" s="4">
        <v>2753660</v>
      </c>
      <c r="G384" s="4">
        <v>1219764</v>
      </c>
      <c r="H384" s="2">
        <v>0</v>
      </c>
      <c r="I384" s="5">
        <v>1</v>
      </c>
      <c r="J384" s="5">
        <v>0</v>
      </c>
      <c r="K384" s="11" t="str">
        <f>HYPERLINK("https://www.geoportal.ch/ktsg/map/34?y=2753660&amp;x=1219764&amp;scale=2500&amp;topic=coord&amp;highlight=1&amp;label=Standort|Feuerverbotsplakat","Karte")</f>
        <v>Karte</v>
      </c>
    </row>
    <row r="385" spans="1:11" x14ac:dyDescent="0.2">
      <c r="A385" s="1" t="s">
        <v>425</v>
      </c>
      <c r="B385" s="1" t="s">
        <v>492</v>
      </c>
      <c r="C385" s="1" t="s">
        <v>564</v>
      </c>
      <c r="D385" s="2">
        <v>2213</v>
      </c>
      <c r="E385" s="1" t="s">
        <v>650</v>
      </c>
      <c r="F385" s="4">
        <v>2754010</v>
      </c>
      <c r="G385" s="4">
        <v>1218422</v>
      </c>
      <c r="H385" s="2">
        <v>0</v>
      </c>
      <c r="I385" s="5">
        <v>1</v>
      </c>
      <c r="J385" s="5">
        <v>0</v>
      </c>
      <c r="K385" s="11" t="str">
        <f>HYPERLINK("https://www.geoportal.ch/ktsg/map/34?y=2754010&amp;x=1218422&amp;scale=2500&amp;topic=coord&amp;highlight=1&amp;label=Standort|Feuerverbotsplakat","Karte")</f>
        <v>Karte</v>
      </c>
    </row>
    <row r="386" spans="1:11" x14ac:dyDescent="0.2">
      <c r="A386" s="1" t="s">
        <v>425</v>
      </c>
      <c r="B386" s="1" t="s">
        <v>492</v>
      </c>
      <c r="C386" s="1" t="s">
        <v>564</v>
      </c>
      <c r="D386" s="2">
        <v>2214</v>
      </c>
      <c r="E386" s="1" t="s">
        <v>559</v>
      </c>
      <c r="F386" s="4">
        <v>2753583</v>
      </c>
      <c r="G386" s="4">
        <v>1217468</v>
      </c>
      <c r="H386" s="2">
        <v>0</v>
      </c>
      <c r="I386" s="5">
        <v>1</v>
      </c>
      <c r="J386" s="5">
        <v>0</v>
      </c>
      <c r="K386" s="11" t="str">
        <f>HYPERLINK("https://www.geoportal.ch/ktsg/map/34?y=2753583&amp;x=1217468&amp;scale=2500&amp;topic=coord&amp;highlight=1&amp;label=Standort|Feuerverbotsplakat","Karte")</f>
        <v>Karte</v>
      </c>
    </row>
    <row r="387" spans="1:11" x14ac:dyDescent="0.2">
      <c r="A387" s="1" t="s">
        <v>425</v>
      </c>
      <c r="B387" s="1" t="s">
        <v>492</v>
      </c>
      <c r="C387" s="1" t="s">
        <v>564</v>
      </c>
      <c r="D387" s="2">
        <v>2215</v>
      </c>
      <c r="E387" s="1" t="s">
        <v>560</v>
      </c>
      <c r="F387" s="4">
        <v>2753422</v>
      </c>
      <c r="G387" s="4">
        <v>1217566</v>
      </c>
      <c r="H387" s="2">
        <v>0</v>
      </c>
      <c r="I387" s="5">
        <v>1</v>
      </c>
      <c r="J387" s="5">
        <v>0</v>
      </c>
      <c r="K387" s="11" t="str">
        <f>HYPERLINK("https://www.geoportal.ch/ktsg/map/34?y=2753422&amp;x=1217566&amp;scale=2500&amp;topic=coord&amp;highlight=1&amp;label=Standort|Feuerverbotsplakat","Karte")</f>
        <v>Karte</v>
      </c>
    </row>
    <row r="388" spans="1:11" x14ac:dyDescent="0.2">
      <c r="A388" s="1" t="s">
        <v>425</v>
      </c>
      <c r="B388" s="1" t="s">
        <v>492</v>
      </c>
      <c r="C388" s="1" t="s">
        <v>564</v>
      </c>
      <c r="D388" s="2">
        <v>2216</v>
      </c>
      <c r="E388" s="1" t="s">
        <v>499</v>
      </c>
      <c r="F388" s="4">
        <v>2753252</v>
      </c>
      <c r="G388" s="4">
        <v>1217787</v>
      </c>
      <c r="H388" s="2">
        <v>0</v>
      </c>
      <c r="I388" s="5">
        <v>1</v>
      </c>
      <c r="J388" s="5">
        <v>0</v>
      </c>
      <c r="K388" s="11" t="str">
        <f>HYPERLINK("https://www.geoportal.ch/ktsg/map/34?y=2753252&amp;x=1217787&amp;scale=2500&amp;topic=coord&amp;highlight=1&amp;label=Standort|Feuerverbotsplakat","Karte")</f>
        <v>Karte</v>
      </c>
    </row>
    <row r="389" spans="1:11" x14ac:dyDescent="0.2">
      <c r="A389" s="1" t="s">
        <v>425</v>
      </c>
      <c r="B389" s="1" t="s">
        <v>492</v>
      </c>
      <c r="C389" s="1" t="s">
        <v>564</v>
      </c>
      <c r="D389" s="2">
        <v>2217</v>
      </c>
      <c r="E389" s="1" t="s">
        <v>500</v>
      </c>
      <c r="F389" s="4">
        <v>2753082</v>
      </c>
      <c r="G389" s="4">
        <v>1217334</v>
      </c>
      <c r="H389" s="2">
        <v>0</v>
      </c>
      <c r="I389" s="5">
        <v>1</v>
      </c>
      <c r="J389" s="5">
        <v>0</v>
      </c>
      <c r="K389" s="11" t="str">
        <f>HYPERLINK("https://www.geoportal.ch/ktsg/map/34?y=2753082&amp;x=1217334&amp;scale=2500&amp;topic=coord&amp;highlight=1&amp;label=Standort|Feuerverbotsplakat","Karte")</f>
        <v>Karte</v>
      </c>
    </row>
    <row r="390" spans="1:11" x14ac:dyDescent="0.2">
      <c r="A390" s="1" t="s">
        <v>425</v>
      </c>
      <c r="B390" s="1" t="s">
        <v>492</v>
      </c>
      <c r="C390" s="1" t="s">
        <v>564</v>
      </c>
      <c r="D390" s="2">
        <v>2218</v>
      </c>
      <c r="E390" s="1" t="s">
        <v>561</v>
      </c>
      <c r="F390" s="4">
        <v>2752624</v>
      </c>
      <c r="G390" s="4">
        <v>1217321</v>
      </c>
      <c r="H390" s="2">
        <v>0</v>
      </c>
      <c r="I390" s="5">
        <v>1</v>
      </c>
      <c r="J390" s="5">
        <v>0</v>
      </c>
      <c r="K390" s="11" t="str">
        <f>HYPERLINK("https://www.geoportal.ch/ktsg/map/34?y=2752624&amp;x=1217321&amp;scale=2500&amp;topic=coord&amp;highlight=1&amp;label=Standort|Feuerverbotsplakat","Karte")</f>
        <v>Karte</v>
      </c>
    </row>
    <row r="391" spans="1:11" x14ac:dyDescent="0.2">
      <c r="A391" s="1" t="s">
        <v>425</v>
      </c>
      <c r="B391" s="1" t="s">
        <v>492</v>
      </c>
      <c r="C391" s="1" t="s">
        <v>564</v>
      </c>
      <c r="D391" s="2">
        <v>2219</v>
      </c>
      <c r="E391" s="1" t="s">
        <v>562</v>
      </c>
      <c r="F391" s="4">
        <v>2750454</v>
      </c>
      <c r="G391" s="4">
        <v>1217244</v>
      </c>
      <c r="H391" s="2">
        <v>0</v>
      </c>
      <c r="I391" s="5">
        <v>1</v>
      </c>
      <c r="J391" s="5">
        <v>0</v>
      </c>
      <c r="K391" s="11" t="str">
        <f>HYPERLINK("https://www.geoportal.ch/ktsg/map/34?y=2750454&amp;x=1217244&amp;scale=2500&amp;topic=coord&amp;highlight=1&amp;label=Standort|Feuerverbotsplakat","Karte")</f>
        <v>Karte</v>
      </c>
    </row>
    <row r="392" spans="1:11" x14ac:dyDescent="0.2">
      <c r="A392" s="1" t="s">
        <v>425</v>
      </c>
      <c r="B392" s="1" t="s">
        <v>492</v>
      </c>
      <c r="C392" s="1" t="s">
        <v>564</v>
      </c>
      <c r="D392" s="2">
        <v>2220</v>
      </c>
      <c r="E392" s="1" t="s">
        <v>563</v>
      </c>
      <c r="F392" s="4">
        <v>2750209</v>
      </c>
      <c r="G392" s="4">
        <v>1217706</v>
      </c>
      <c r="H392" s="2">
        <v>0</v>
      </c>
      <c r="I392" s="5">
        <v>1</v>
      </c>
      <c r="J392" s="5">
        <v>0</v>
      </c>
      <c r="K392" s="11" t="str">
        <f>HYPERLINK("https://www.geoportal.ch/ktsg/map/34?y=2750209&amp;x=1217706&amp;scale=2500&amp;topic=coord&amp;highlight=1&amp;label=Standort|Feuerverbotsplakat","Karte")</f>
        <v>Karte</v>
      </c>
    </row>
    <row r="393" spans="1:11" x14ac:dyDescent="0.2">
      <c r="A393" s="1" t="s">
        <v>424</v>
      </c>
      <c r="B393" s="1" t="s">
        <v>75</v>
      </c>
      <c r="C393" s="1" t="s">
        <v>76</v>
      </c>
      <c r="D393" s="2">
        <v>3001</v>
      </c>
      <c r="E393" s="1" t="s">
        <v>898</v>
      </c>
      <c r="F393" s="4">
        <v>2756780</v>
      </c>
      <c r="G393" s="4">
        <v>1207170</v>
      </c>
      <c r="H393" s="2">
        <v>0</v>
      </c>
      <c r="I393" s="5">
        <v>0</v>
      </c>
      <c r="J393" s="5">
        <v>1</v>
      </c>
      <c r="K393" s="11" t="str">
        <f>HYPERLINK("https://www.geoportal.ch/ktsg/map/34?y=2756780&amp;x=1207170&amp;scale=2500&amp;topic=coord&amp;highlight=1&amp;label=Standort|Feuerverbotsplakat","Karte")</f>
        <v>Karte</v>
      </c>
    </row>
    <row r="394" spans="1:11" x14ac:dyDescent="0.2">
      <c r="A394" s="1" t="s">
        <v>424</v>
      </c>
      <c r="B394" s="1" t="s">
        <v>75</v>
      </c>
      <c r="C394" s="1" t="s">
        <v>76</v>
      </c>
      <c r="D394" s="2">
        <v>3002</v>
      </c>
      <c r="E394" s="1" t="s">
        <v>455</v>
      </c>
      <c r="F394" s="4">
        <v>2756750</v>
      </c>
      <c r="G394" s="4">
        <v>1207420</v>
      </c>
      <c r="H394" s="2">
        <v>0</v>
      </c>
      <c r="I394" s="5">
        <v>1</v>
      </c>
      <c r="J394" s="5">
        <v>0</v>
      </c>
      <c r="K394" s="11" t="str">
        <f>HYPERLINK("https://www.geoportal.ch/ktsg/map/34?y=2756750&amp;x=1207420&amp;scale=2500&amp;topic=coord&amp;highlight=1&amp;label=Standort|Feuerverbotsplakat","Karte")</f>
        <v>Karte</v>
      </c>
    </row>
    <row r="395" spans="1:11" x14ac:dyDescent="0.2">
      <c r="A395" s="1" t="s">
        <v>424</v>
      </c>
      <c r="B395" s="1" t="s">
        <v>75</v>
      </c>
      <c r="C395" s="1" t="s">
        <v>76</v>
      </c>
      <c r="D395" s="2">
        <v>3003</v>
      </c>
      <c r="E395" s="1" t="s">
        <v>459</v>
      </c>
      <c r="F395" s="4">
        <v>2756150</v>
      </c>
      <c r="G395" s="4">
        <v>1208520</v>
      </c>
      <c r="H395" s="2">
        <v>0</v>
      </c>
      <c r="I395" s="5">
        <v>1</v>
      </c>
      <c r="J395" s="5">
        <v>0</v>
      </c>
      <c r="K395" s="11" t="str">
        <f>HYPERLINK("https://www.geoportal.ch/ktsg/map/34?y=2756150&amp;x=1208520&amp;scale=2500&amp;topic=coord&amp;highlight=1&amp;label=Standort|Feuerverbotsplakat","Karte")</f>
        <v>Karte</v>
      </c>
    </row>
    <row r="396" spans="1:11" x14ac:dyDescent="0.2">
      <c r="A396" s="1" t="s">
        <v>424</v>
      </c>
      <c r="B396" s="1" t="s">
        <v>75</v>
      </c>
      <c r="C396" s="1" t="s">
        <v>76</v>
      </c>
      <c r="D396" s="2">
        <v>3004</v>
      </c>
      <c r="E396" s="1" t="s">
        <v>651</v>
      </c>
      <c r="F396" s="4">
        <v>2756404</v>
      </c>
      <c r="G396" s="4">
        <v>1208218</v>
      </c>
      <c r="H396" s="2">
        <v>0</v>
      </c>
      <c r="I396" s="5">
        <v>1</v>
      </c>
      <c r="J396" s="5">
        <v>0</v>
      </c>
      <c r="K396" s="11" t="str">
        <f>HYPERLINK("https://www.geoportal.ch/ktsg/map/34?y=2756404&amp;x=1208218&amp;scale=2500&amp;topic=coord&amp;highlight=1&amp;label=Standort|Feuerverbotsplakat","Karte")</f>
        <v>Karte</v>
      </c>
    </row>
    <row r="397" spans="1:11" x14ac:dyDescent="0.2">
      <c r="A397" s="1" t="s">
        <v>424</v>
      </c>
      <c r="B397" s="1" t="s">
        <v>75</v>
      </c>
      <c r="C397" s="1" t="s">
        <v>76</v>
      </c>
      <c r="D397" s="2">
        <v>3005</v>
      </c>
      <c r="E397" s="1" t="s">
        <v>652</v>
      </c>
      <c r="F397" s="4">
        <v>2756667</v>
      </c>
      <c r="G397" s="4">
        <v>1207674</v>
      </c>
      <c r="H397" s="2">
        <v>0</v>
      </c>
      <c r="I397" s="5">
        <v>1</v>
      </c>
      <c r="J397" s="5">
        <v>0</v>
      </c>
      <c r="K397" s="11" t="str">
        <f>HYPERLINK("https://www.geoportal.ch/ktsg/map/34?y=2756667&amp;x=1207674&amp;scale=2500&amp;topic=coord&amp;highlight=1&amp;label=Standort|Feuerverbotsplakat","Karte")</f>
        <v>Karte</v>
      </c>
    </row>
    <row r="398" spans="1:11" x14ac:dyDescent="0.2">
      <c r="A398" s="1" t="s">
        <v>424</v>
      </c>
      <c r="B398" s="1" t="s">
        <v>75</v>
      </c>
      <c r="C398" s="1" t="s">
        <v>76</v>
      </c>
      <c r="D398" s="2">
        <v>3006</v>
      </c>
      <c r="E398" s="1" t="s">
        <v>462</v>
      </c>
      <c r="F398" s="4">
        <v>2754741</v>
      </c>
      <c r="G398" s="4">
        <v>1209342</v>
      </c>
      <c r="H398" s="2">
        <v>0</v>
      </c>
      <c r="I398" s="5">
        <v>0</v>
      </c>
      <c r="J398" s="5">
        <v>1</v>
      </c>
      <c r="K398" s="11" t="str">
        <f>HYPERLINK("https://www.geoportal.ch/ktsg/map/34?y=2754741&amp;x=1209342&amp;scale=2500&amp;topic=coord&amp;highlight=1&amp;label=Standort|Feuerverbotsplakat","Karte")</f>
        <v>Karte</v>
      </c>
    </row>
    <row r="399" spans="1:11" x14ac:dyDescent="0.2">
      <c r="A399" s="1" t="s">
        <v>424</v>
      </c>
      <c r="B399" s="1" t="s">
        <v>75</v>
      </c>
      <c r="C399" s="1" t="s">
        <v>76</v>
      </c>
      <c r="D399" s="2">
        <v>3007</v>
      </c>
      <c r="E399" s="1" t="s">
        <v>463</v>
      </c>
      <c r="F399" s="4">
        <v>2753678</v>
      </c>
      <c r="G399" s="4">
        <v>1206351</v>
      </c>
      <c r="H399" s="2">
        <v>0</v>
      </c>
      <c r="I399" s="5">
        <v>0</v>
      </c>
      <c r="J399" s="5">
        <v>1</v>
      </c>
      <c r="K399" s="11" t="str">
        <f>HYPERLINK("https://www.geoportal.ch/ktsg/map/34?y=2753678&amp;x=1206351&amp;scale=2500&amp;topic=coord&amp;highlight=1&amp;label=Standort|Feuerverbotsplakat","Karte")</f>
        <v>Karte</v>
      </c>
    </row>
    <row r="400" spans="1:11" x14ac:dyDescent="0.2">
      <c r="A400" s="1" t="s">
        <v>424</v>
      </c>
      <c r="B400" s="1" t="s">
        <v>75</v>
      </c>
      <c r="C400" s="1" t="s">
        <v>77</v>
      </c>
      <c r="D400" s="2">
        <v>3008</v>
      </c>
      <c r="E400" s="1" t="s">
        <v>456</v>
      </c>
      <c r="F400" s="4">
        <v>2755560</v>
      </c>
      <c r="G400" s="4">
        <v>1206980</v>
      </c>
      <c r="H400" s="2">
        <v>0</v>
      </c>
      <c r="I400" s="5">
        <v>1</v>
      </c>
      <c r="J400" s="5">
        <v>0</v>
      </c>
      <c r="K400" s="11" t="str">
        <f>HYPERLINK("https://www.geoportal.ch/ktsg/map/34?y=2755560&amp;x=1206980&amp;scale=2500&amp;topic=coord&amp;highlight=1&amp;label=Standort|Feuerverbotsplakat","Karte")</f>
        <v>Karte</v>
      </c>
    </row>
    <row r="401" spans="1:11" x14ac:dyDescent="0.2">
      <c r="A401" s="1" t="s">
        <v>424</v>
      </c>
      <c r="B401" s="1" t="s">
        <v>85</v>
      </c>
      <c r="C401" s="1" t="s">
        <v>87</v>
      </c>
      <c r="D401" s="2">
        <v>3009</v>
      </c>
      <c r="E401" s="1" t="s">
        <v>446</v>
      </c>
      <c r="F401" s="4">
        <v>2746200</v>
      </c>
      <c r="G401" s="4">
        <v>1217550</v>
      </c>
      <c r="H401" s="2">
        <v>0</v>
      </c>
      <c r="I401" s="5">
        <v>1</v>
      </c>
      <c r="J401" s="5">
        <v>0</v>
      </c>
      <c r="K401" s="11" t="str">
        <f>HYPERLINK("https://www.geoportal.ch/ktsg/map/34?y=2746200&amp;x=1217550&amp;scale=2500&amp;topic=coord&amp;highlight=1&amp;label=Standort|Feuerverbotsplakat","Karte")</f>
        <v>Karte</v>
      </c>
    </row>
    <row r="402" spans="1:11" x14ac:dyDescent="0.2">
      <c r="A402" s="1" t="s">
        <v>424</v>
      </c>
      <c r="B402" s="1" t="s">
        <v>85</v>
      </c>
      <c r="C402" s="1" t="s">
        <v>87</v>
      </c>
      <c r="D402" s="2">
        <v>3010</v>
      </c>
      <c r="E402" s="1" t="s">
        <v>286</v>
      </c>
      <c r="F402" s="4">
        <v>2747410</v>
      </c>
      <c r="G402" s="4">
        <v>1216360</v>
      </c>
      <c r="H402" s="2">
        <v>0</v>
      </c>
      <c r="I402" s="5">
        <v>1</v>
      </c>
      <c r="J402" s="5">
        <v>0</v>
      </c>
      <c r="K402" s="11" t="str">
        <f>HYPERLINK("https://www.geoportal.ch/ktsg/map/34?y=2747410&amp;x=1216360&amp;scale=2500&amp;topic=coord&amp;highlight=1&amp;label=Standort|Feuerverbotsplakat","Karte")</f>
        <v>Karte</v>
      </c>
    </row>
    <row r="403" spans="1:11" x14ac:dyDescent="0.2">
      <c r="A403" s="1" t="s">
        <v>424</v>
      </c>
      <c r="B403" s="1" t="s">
        <v>85</v>
      </c>
      <c r="C403" s="1" t="s">
        <v>86</v>
      </c>
      <c r="D403" s="2">
        <v>3011</v>
      </c>
      <c r="E403" s="1" t="s">
        <v>899</v>
      </c>
      <c r="F403" s="4">
        <v>2744320</v>
      </c>
      <c r="G403" s="4">
        <v>1217000</v>
      </c>
      <c r="H403" s="2">
        <v>0</v>
      </c>
      <c r="I403" s="5">
        <v>0</v>
      </c>
      <c r="J403" s="5">
        <v>1</v>
      </c>
      <c r="K403" s="11" t="str">
        <f>HYPERLINK("https://www.geoportal.ch/ktsg/map/34?y=2744320&amp;x=1217000&amp;scale=2500&amp;topic=coord&amp;highlight=1&amp;label=Standort|Feuerverbotsplakat","Karte")</f>
        <v>Karte</v>
      </c>
    </row>
    <row r="404" spans="1:11" x14ac:dyDescent="0.2">
      <c r="A404" s="1" t="s">
        <v>424</v>
      </c>
      <c r="B404" s="1" t="s">
        <v>85</v>
      </c>
      <c r="C404" s="1" t="s">
        <v>86</v>
      </c>
      <c r="D404" s="2">
        <v>3012</v>
      </c>
      <c r="E404" s="1" t="s">
        <v>653</v>
      </c>
      <c r="F404" s="4">
        <v>2742160</v>
      </c>
      <c r="G404" s="4">
        <v>1216660</v>
      </c>
      <c r="H404" s="2">
        <v>0</v>
      </c>
      <c r="I404" s="5">
        <v>1</v>
      </c>
      <c r="J404" s="5">
        <v>0</v>
      </c>
      <c r="K404" s="11" t="str">
        <f>HYPERLINK("https://www.geoportal.ch/ktsg/map/34?y=2742160&amp;x=1216660&amp;scale=2500&amp;topic=coord&amp;highlight=1&amp;label=Standort|Feuerverbotsplakat","Karte")</f>
        <v>Karte</v>
      </c>
    </row>
    <row r="405" spans="1:11" x14ac:dyDescent="0.2">
      <c r="A405" s="1" t="s">
        <v>424</v>
      </c>
      <c r="B405" s="1" t="s">
        <v>85</v>
      </c>
      <c r="C405" s="1" t="s">
        <v>86</v>
      </c>
      <c r="D405" s="2">
        <v>3013</v>
      </c>
      <c r="E405" s="1" t="s">
        <v>519</v>
      </c>
      <c r="F405" s="4">
        <v>2742430</v>
      </c>
      <c r="G405" s="4">
        <v>1215880</v>
      </c>
      <c r="H405" s="2">
        <v>0</v>
      </c>
      <c r="I405" s="5">
        <v>0</v>
      </c>
      <c r="J405" s="5">
        <v>1</v>
      </c>
      <c r="K405" s="11" t="str">
        <f>HYPERLINK("https://www.geoportal.ch/ktsg/map/34?y=2742430&amp;x=1215880&amp;scale=2500&amp;topic=coord&amp;highlight=1&amp;label=Standort|Feuerverbotsplakat","Karte")</f>
        <v>Karte</v>
      </c>
    </row>
    <row r="406" spans="1:11" x14ac:dyDescent="0.2">
      <c r="A406" s="1" t="s">
        <v>424</v>
      </c>
      <c r="B406" s="1" t="s">
        <v>85</v>
      </c>
      <c r="C406" s="1" t="s">
        <v>89</v>
      </c>
      <c r="D406" s="2">
        <v>3014</v>
      </c>
      <c r="E406" s="1" t="s">
        <v>445</v>
      </c>
      <c r="F406" s="4">
        <v>2743000</v>
      </c>
      <c r="G406" s="4">
        <v>1218700</v>
      </c>
      <c r="H406" s="2">
        <v>0</v>
      </c>
      <c r="I406" s="5">
        <v>1</v>
      </c>
      <c r="J406" s="5">
        <v>0</v>
      </c>
      <c r="K406" s="11" t="str">
        <f>HYPERLINK("https://www.geoportal.ch/ktsg/map/34?y=2743000&amp;x=1218700&amp;scale=2500&amp;topic=coord&amp;highlight=1&amp;label=Standort|Feuerverbotsplakat","Karte")</f>
        <v>Karte</v>
      </c>
    </row>
    <row r="407" spans="1:11" x14ac:dyDescent="0.2">
      <c r="A407" s="1" t="s">
        <v>424</v>
      </c>
      <c r="B407" s="1" t="s">
        <v>80</v>
      </c>
      <c r="C407" s="1" t="s">
        <v>81</v>
      </c>
      <c r="D407" s="2">
        <v>3015</v>
      </c>
      <c r="E407" s="1" t="s">
        <v>282</v>
      </c>
      <c r="F407" s="4">
        <v>2754650</v>
      </c>
      <c r="G407" s="4">
        <v>1212580</v>
      </c>
      <c r="H407" s="2">
        <v>0</v>
      </c>
      <c r="I407" s="5">
        <v>1</v>
      </c>
      <c r="J407" s="5">
        <v>0</v>
      </c>
      <c r="K407" s="11" t="str">
        <f>HYPERLINK("https://www.geoportal.ch/ktsg/map/34?y=2754650&amp;x=1212580&amp;scale=2500&amp;topic=coord&amp;highlight=1&amp;label=Standort|Feuerverbotsplakat","Karte")</f>
        <v>Karte</v>
      </c>
    </row>
    <row r="408" spans="1:11" x14ac:dyDescent="0.2">
      <c r="A408" s="1" t="s">
        <v>424</v>
      </c>
      <c r="B408" s="1" t="s">
        <v>80</v>
      </c>
      <c r="C408" s="1" t="s">
        <v>81</v>
      </c>
      <c r="D408" s="2">
        <v>3016</v>
      </c>
      <c r="E408" s="1" t="s">
        <v>447</v>
      </c>
      <c r="F408" s="4">
        <v>2750230</v>
      </c>
      <c r="G408" s="4">
        <v>1214110</v>
      </c>
      <c r="H408" s="2">
        <v>0</v>
      </c>
      <c r="I408" s="5">
        <v>1</v>
      </c>
      <c r="J408" s="5">
        <v>0</v>
      </c>
      <c r="K408" s="11" t="str">
        <f>HYPERLINK("https://www.geoportal.ch/ktsg/map/34?y=2750230&amp;x=1214110&amp;scale=2500&amp;topic=coord&amp;highlight=1&amp;label=Standort|Feuerverbotsplakat","Karte")</f>
        <v>Karte</v>
      </c>
    </row>
    <row r="409" spans="1:11" x14ac:dyDescent="0.2">
      <c r="A409" s="1" t="s">
        <v>424</v>
      </c>
      <c r="B409" s="1" t="s">
        <v>80</v>
      </c>
      <c r="C409" s="1" t="s">
        <v>81</v>
      </c>
      <c r="D409" s="2">
        <v>3017</v>
      </c>
      <c r="E409" s="1" t="s">
        <v>448</v>
      </c>
      <c r="F409" s="4">
        <v>2749880</v>
      </c>
      <c r="G409" s="4">
        <v>1214220</v>
      </c>
      <c r="H409" s="2">
        <v>0</v>
      </c>
      <c r="I409" s="5">
        <v>1</v>
      </c>
      <c r="J409" s="5">
        <v>0</v>
      </c>
      <c r="K409" s="11" t="str">
        <f>HYPERLINK("https://www.geoportal.ch/ktsg/map/34?y=2749880&amp;x=1214220&amp;scale=2500&amp;topic=coord&amp;highlight=1&amp;label=Standort|Feuerverbotsplakat","Karte")</f>
        <v>Karte</v>
      </c>
    </row>
    <row r="410" spans="1:11" x14ac:dyDescent="0.2">
      <c r="A410" s="1" t="s">
        <v>424</v>
      </c>
      <c r="B410" s="1" t="s">
        <v>80</v>
      </c>
      <c r="C410" s="1" t="s">
        <v>81</v>
      </c>
      <c r="D410" s="2">
        <v>3018</v>
      </c>
      <c r="E410" s="1" t="s">
        <v>449</v>
      </c>
      <c r="F410" s="4">
        <v>2749000</v>
      </c>
      <c r="G410" s="4">
        <v>1215040</v>
      </c>
      <c r="H410" s="2">
        <v>0</v>
      </c>
      <c r="I410" s="5">
        <v>0</v>
      </c>
      <c r="J410" s="5">
        <v>1</v>
      </c>
      <c r="K410" s="11" t="str">
        <f>HYPERLINK("https://www.geoportal.ch/ktsg/map/34?y=2749000&amp;x=1215040&amp;scale=2500&amp;topic=coord&amp;highlight=1&amp;label=Standort|Feuerverbotsplakat","Karte")</f>
        <v>Karte</v>
      </c>
    </row>
    <row r="411" spans="1:11" x14ac:dyDescent="0.2">
      <c r="A411" s="1" t="s">
        <v>424</v>
      </c>
      <c r="B411" s="1" t="s">
        <v>80</v>
      </c>
      <c r="C411" s="1" t="s">
        <v>81</v>
      </c>
      <c r="D411" s="2">
        <v>3019</v>
      </c>
      <c r="E411" s="1" t="s">
        <v>280</v>
      </c>
      <c r="F411" s="4">
        <v>2747820</v>
      </c>
      <c r="G411" s="4">
        <v>1213110</v>
      </c>
      <c r="H411" s="2">
        <v>0</v>
      </c>
      <c r="I411" s="5">
        <v>1</v>
      </c>
      <c r="J411" s="5">
        <v>0</v>
      </c>
      <c r="K411" s="11" t="str">
        <f>HYPERLINK("https://www.geoportal.ch/ktsg/map/34?y=2747820&amp;x=1213110&amp;scale=2500&amp;topic=coord&amp;highlight=1&amp;label=Standort|Feuerverbotsplakat","Karte")</f>
        <v>Karte</v>
      </c>
    </row>
    <row r="412" spans="1:11" x14ac:dyDescent="0.2">
      <c r="A412" s="1" t="s">
        <v>424</v>
      </c>
      <c r="B412" s="1" t="s">
        <v>80</v>
      </c>
      <c r="C412" s="1" t="s">
        <v>81</v>
      </c>
      <c r="D412" s="2">
        <v>3020</v>
      </c>
      <c r="E412" s="1" t="s">
        <v>817</v>
      </c>
      <c r="F412" s="4">
        <v>2746980</v>
      </c>
      <c r="G412" s="4">
        <v>1212680</v>
      </c>
      <c r="H412" s="2">
        <v>0</v>
      </c>
      <c r="I412" s="5">
        <v>1</v>
      </c>
      <c r="J412" s="5">
        <v>0</v>
      </c>
      <c r="K412" s="11" t="str">
        <f>HYPERLINK("https://www.geoportal.ch/ktsg/map/34?y=2746980&amp;x=1212680&amp;scale=2500&amp;topic=coord&amp;highlight=1&amp;label=Standort|Feuerverbotsplakat","Karte")</f>
        <v>Karte</v>
      </c>
    </row>
    <row r="413" spans="1:11" x14ac:dyDescent="0.2">
      <c r="A413" s="1" t="s">
        <v>424</v>
      </c>
      <c r="B413" s="1" t="s">
        <v>80</v>
      </c>
      <c r="C413" s="1" t="s">
        <v>81</v>
      </c>
      <c r="D413" s="2">
        <v>3021</v>
      </c>
      <c r="E413" s="1" t="s">
        <v>818</v>
      </c>
      <c r="F413" s="4">
        <v>2747600</v>
      </c>
      <c r="G413" s="4">
        <v>1211620</v>
      </c>
      <c r="H413" s="2">
        <v>0</v>
      </c>
      <c r="I413" s="5">
        <v>1</v>
      </c>
      <c r="J413" s="5">
        <v>0</v>
      </c>
      <c r="K413" s="11" t="str">
        <f>HYPERLINK("https://www.geoportal.ch/ktsg/map/34?y=2747600&amp;x=1211620&amp;scale=2500&amp;topic=coord&amp;highlight=1&amp;label=Standort|Feuerverbotsplakat","Karte")</f>
        <v>Karte</v>
      </c>
    </row>
    <row r="414" spans="1:11" x14ac:dyDescent="0.2">
      <c r="A414" s="1" t="s">
        <v>424</v>
      </c>
      <c r="B414" s="1" t="s">
        <v>80</v>
      </c>
      <c r="C414" s="1" t="s">
        <v>81</v>
      </c>
      <c r="D414" s="2">
        <v>3022</v>
      </c>
      <c r="E414" s="1" t="s">
        <v>279</v>
      </c>
      <c r="F414" s="4">
        <v>2748790</v>
      </c>
      <c r="G414" s="4">
        <v>1211250</v>
      </c>
      <c r="H414" s="2">
        <v>0</v>
      </c>
      <c r="I414" s="5">
        <v>1</v>
      </c>
      <c r="J414" s="5">
        <v>0</v>
      </c>
      <c r="K414" s="11" t="str">
        <f>HYPERLINK("https://www.geoportal.ch/ktsg/map/34?y=2748790&amp;x=1211250&amp;scale=2500&amp;topic=coord&amp;highlight=1&amp;label=Standort|Feuerverbotsplakat","Karte")</f>
        <v>Karte</v>
      </c>
    </row>
    <row r="415" spans="1:11" x14ac:dyDescent="0.2">
      <c r="A415" s="1" t="s">
        <v>424</v>
      </c>
      <c r="B415" s="1" t="s">
        <v>80</v>
      </c>
      <c r="C415" s="1" t="s">
        <v>81</v>
      </c>
      <c r="D415" s="2">
        <v>3023</v>
      </c>
      <c r="E415" s="1" t="s">
        <v>278</v>
      </c>
      <c r="F415" s="4">
        <v>2749660</v>
      </c>
      <c r="G415" s="4">
        <v>1212150</v>
      </c>
      <c r="H415" s="2">
        <v>0</v>
      </c>
      <c r="I415" s="5">
        <v>1</v>
      </c>
      <c r="J415" s="5">
        <v>0</v>
      </c>
      <c r="K415" s="11" t="str">
        <f>HYPERLINK("https://www.geoportal.ch/ktsg/map/34?y=2749660&amp;x=1212150&amp;scale=2500&amp;topic=coord&amp;highlight=1&amp;label=Standort|Feuerverbotsplakat","Karte")</f>
        <v>Karte</v>
      </c>
    </row>
    <row r="416" spans="1:11" x14ac:dyDescent="0.2">
      <c r="A416" s="1" t="s">
        <v>424</v>
      </c>
      <c r="B416" s="1" t="s">
        <v>80</v>
      </c>
      <c r="C416" s="1" t="s">
        <v>81</v>
      </c>
      <c r="D416" s="2">
        <v>3024</v>
      </c>
      <c r="E416" s="1" t="s">
        <v>277</v>
      </c>
      <c r="F416" s="4">
        <v>2749640</v>
      </c>
      <c r="G416" s="4">
        <v>1211500</v>
      </c>
      <c r="H416" s="2">
        <v>0</v>
      </c>
      <c r="I416" s="5">
        <v>1</v>
      </c>
      <c r="J416" s="5">
        <v>0</v>
      </c>
      <c r="K416" s="11" t="str">
        <f>HYPERLINK("https://www.geoportal.ch/ktsg/map/34?y=2749640&amp;x=1211500&amp;scale=2500&amp;topic=coord&amp;highlight=1&amp;label=Standort|Feuerverbotsplakat","Karte")</f>
        <v>Karte</v>
      </c>
    </row>
    <row r="417" spans="1:11" x14ac:dyDescent="0.2">
      <c r="A417" s="1" t="s">
        <v>424</v>
      </c>
      <c r="B417" s="1" t="s">
        <v>80</v>
      </c>
      <c r="C417" s="1" t="s">
        <v>81</v>
      </c>
      <c r="D417" s="2">
        <v>3025</v>
      </c>
      <c r="E417" s="1" t="s">
        <v>276</v>
      </c>
      <c r="F417" s="4">
        <v>2750100</v>
      </c>
      <c r="G417" s="4">
        <v>1212200</v>
      </c>
      <c r="H417" s="2">
        <v>0</v>
      </c>
      <c r="I417" s="5">
        <v>1</v>
      </c>
      <c r="J417" s="5">
        <v>0</v>
      </c>
      <c r="K417" s="11" t="str">
        <f>HYPERLINK("https://www.geoportal.ch/ktsg/map/34?y=2750100&amp;x=1212200&amp;scale=2500&amp;topic=coord&amp;highlight=1&amp;label=Standort|Feuerverbotsplakat","Karte")</f>
        <v>Karte</v>
      </c>
    </row>
    <row r="418" spans="1:11" x14ac:dyDescent="0.2">
      <c r="A418" s="1" t="s">
        <v>424</v>
      </c>
      <c r="B418" s="1" t="s">
        <v>80</v>
      </c>
      <c r="C418" s="1" t="s">
        <v>81</v>
      </c>
      <c r="D418" s="2">
        <v>3026</v>
      </c>
      <c r="E418" s="1" t="s">
        <v>520</v>
      </c>
      <c r="F418" s="4">
        <v>2748494</v>
      </c>
      <c r="G418" s="4">
        <v>1215393</v>
      </c>
      <c r="H418" s="2">
        <v>0</v>
      </c>
      <c r="I418" s="5">
        <v>0</v>
      </c>
      <c r="J418" s="5">
        <v>1</v>
      </c>
      <c r="K418" s="11" t="str">
        <f>HYPERLINK("https://www.geoportal.ch/ktsg/map/34?y=2748494&amp;x=1215393&amp;scale=2500&amp;topic=coord&amp;highlight=1&amp;label=Standort|Feuerverbotsplakat","Karte")</f>
        <v>Karte</v>
      </c>
    </row>
    <row r="419" spans="1:11" x14ac:dyDescent="0.2">
      <c r="A419" s="1" t="s">
        <v>424</v>
      </c>
      <c r="B419" s="1" t="s">
        <v>80</v>
      </c>
      <c r="C419" s="1" t="s">
        <v>79</v>
      </c>
      <c r="D419" s="2">
        <v>3027</v>
      </c>
      <c r="E419" s="1" t="s">
        <v>275</v>
      </c>
      <c r="F419" s="4">
        <v>2748700</v>
      </c>
      <c r="G419" s="4">
        <v>1214200</v>
      </c>
      <c r="H419" s="2">
        <v>0</v>
      </c>
      <c r="I419" s="5">
        <v>1</v>
      </c>
      <c r="J419" s="5">
        <v>0</v>
      </c>
      <c r="K419" s="11" t="str">
        <f>HYPERLINK("https://www.geoportal.ch/ktsg/map/34?y=2748700&amp;x=1214200&amp;scale=2500&amp;topic=coord&amp;highlight=1&amp;label=Standort|Feuerverbotsplakat","Karte")</f>
        <v>Karte</v>
      </c>
    </row>
    <row r="420" spans="1:11" x14ac:dyDescent="0.2">
      <c r="A420" s="1" t="s">
        <v>424</v>
      </c>
      <c r="B420" s="1" t="s">
        <v>80</v>
      </c>
      <c r="C420" s="1" t="s">
        <v>79</v>
      </c>
      <c r="D420" s="2">
        <v>3028</v>
      </c>
      <c r="E420" s="1" t="s">
        <v>274</v>
      </c>
      <c r="F420" s="4">
        <v>2747460</v>
      </c>
      <c r="G420" s="4">
        <v>1214700</v>
      </c>
      <c r="H420" s="2">
        <v>0</v>
      </c>
      <c r="I420" s="5">
        <v>1</v>
      </c>
      <c r="J420" s="5">
        <v>0</v>
      </c>
      <c r="K420" s="11" t="str">
        <f>HYPERLINK("https://www.geoportal.ch/ktsg/map/34?y=2747460&amp;x=1214700&amp;scale=2500&amp;topic=coord&amp;highlight=1&amp;label=Standort|Feuerverbotsplakat","Karte")</f>
        <v>Karte</v>
      </c>
    </row>
    <row r="421" spans="1:11" x14ac:dyDescent="0.2">
      <c r="A421" s="1" t="s">
        <v>424</v>
      </c>
      <c r="B421" s="1" t="s">
        <v>80</v>
      </c>
      <c r="C421" s="1" t="s">
        <v>79</v>
      </c>
      <c r="D421" s="2">
        <v>3029</v>
      </c>
      <c r="E421" s="1" t="s">
        <v>654</v>
      </c>
      <c r="F421" s="4">
        <v>2750100</v>
      </c>
      <c r="G421" s="4">
        <v>1213100</v>
      </c>
      <c r="H421" s="2">
        <v>0</v>
      </c>
      <c r="I421" s="5">
        <v>1</v>
      </c>
      <c r="J421" s="5">
        <v>0</v>
      </c>
      <c r="K421" s="11" t="str">
        <f>HYPERLINK("https://www.geoportal.ch/ktsg/map/34?y=2750100&amp;x=1213100&amp;scale=2500&amp;topic=coord&amp;highlight=1&amp;label=Standort|Feuerverbotsplakat","Karte")</f>
        <v>Karte</v>
      </c>
    </row>
    <row r="422" spans="1:11" x14ac:dyDescent="0.2">
      <c r="A422" s="1" t="s">
        <v>424</v>
      </c>
      <c r="B422" s="1" t="s">
        <v>80</v>
      </c>
      <c r="C422" s="1" t="s">
        <v>79</v>
      </c>
      <c r="D422" s="2">
        <v>3030</v>
      </c>
      <c r="E422" s="1" t="s">
        <v>273</v>
      </c>
      <c r="F422" s="4">
        <v>2750170</v>
      </c>
      <c r="G422" s="4">
        <v>1210290</v>
      </c>
      <c r="H422" s="2">
        <v>0</v>
      </c>
      <c r="I422" s="5">
        <v>1</v>
      </c>
      <c r="J422" s="5">
        <v>0</v>
      </c>
      <c r="K422" s="11" t="str">
        <f>HYPERLINK("https://www.geoportal.ch/ktsg/map/34?y=2750170&amp;x=1210290&amp;scale=2500&amp;topic=coord&amp;highlight=1&amp;label=Standort|Feuerverbotsplakat","Karte")</f>
        <v>Karte</v>
      </c>
    </row>
    <row r="423" spans="1:11" x14ac:dyDescent="0.2">
      <c r="A423" s="1" t="s">
        <v>424</v>
      </c>
      <c r="B423" s="1" t="s">
        <v>73</v>
      </c>
      <c r="C423" s="1" t="s">
        <v>76</v>
      </c>
      <c r="D423" s="2">
        <v>3031</v>
      </c>
      <c r="E423" s="1" t="s">
        <v>453</v>
      </c>
      <c r="F423" s="4">
        <v>2756830</v>
      </c>
      <c r="G423" s="4">
        <v>1206270</v>
      </c>
      <c r="H423" s="2">
        <v>0</v>
      </c>
      <c r="I423" s="5">
        <v>1</v>
      </c>
      <c r="J423" s="5">
        <v>0</v>
      </c>
      <c r="K423" s="11" t="str">
        <f>HYPERLINK("https://www.geoportal.ch/ktsg/map/34?y=2756830&amp;x=1206270&amp;scale=2500&amp;topic=coord&amp;highlight=1&amp;label=Standort|Feuerverbotsplakat","Karte")</f>
        <v>Karte</v>
      </c>
    </row>
    <row r="424" spans="1:11" x14ac:dyDescent="0.2">
      <c r="A424" s="1" t="s">
        <v>424</v>
      </c>
      <c r="B424" s="1" t="s">
        <v>73</v>
      </c>
      <c r="C424" s="1" t="s">
        <v>76</v>
      </c>
      <c r="D424" s="2">
        <v>3032</v>
      </c>
      <c r="E424" s="1" t="s">
        <v>900</v>
      </c>
      <c r="F424" s="4">
        <v>2759827</v>
      </c>
      <c r="G424" s="4">
        <v>1205183</v>
      </c>
      <c r="H424" s="2">
        <v>0</v>
      </c>
      <c r="I424" s="5">
        <v>0</v>
      </c>
      <c r="J424" s="5">
        <v>1</v>
      </c>
      <c r="K424" s="11" t="str">
        <f>HYPERLINK("https://www.geoportal.ch/ktsg/map/34?y=2759827&amp;x=1205183&amp;scale=2500&amp;topic=coord&amp;highlight=1&amp;label=Standort|Feuerverbotsplakat","Karte")</f>
        <v>Karte</v>
      </c>
    </row>
    <row r="425" spans="1:11" x14ac:dyDescent="0.2">
      <c r="A425" s="1" t="s">
        <v>424</v>
      </c>
      <c r="B425" s="1" t="s">
        <v>73</v>
      </c>
      <c r="C425" s="1" t="s">
        <v>76</v>
      </c>
      <c r="D425" s="2">
        <v>3033</v>
      </c>
      <c r="E425" s="1" t="s">
        <v>819</v>
      </c>
      <c r="F425" s="4">
        <v>2755840</v>
      </c>
      <c r="G425" s="4">
        <v>1203220</v>
      </c>
      <c r="H425" s="2">
        <v>0</v>
      </c>
      <c r="I425" s="5">
        <v>1</v>
      </c>
      <c r="J425" s="5">
        <v>0</v>
      </c>
      <c r="K425" s="11" t="str">
        <f>HYPERLINK("https://www.geoportal.ch/ktsg/map/34?y=2755840&amp;x=1203220&amp;scale=2500&amp;topic=coord&amp;highlight=1&amp;label=Standort|Feuerverbotsplakat","Karte")</f>
        <v>Karte</v>
      </c>
    </row>
    <row r="426" spans="1:11" x14ac:dyDescent="0.2">
      <c r="A426" s="1" t="s">
        <v>424</v>
      </c>
      <c r="B426" s="1" t="s">
        <v>73</v>
      </c>
      <c r="C426" s="1" t="s">
        <v>76</v>
      </c>
      <c r="D426" s="2">
        <v>3034</v>
      </c>
      <c r="E426" s="1" t="s">
        <v>655</v>
      </c>
      <c r="F426" s="4">
        <v>2758140</v>
      </c>
      <c r="G426" s="4">
        <v>1202650</v>
      </c>
      <c r="H426" s="2">
        <v>0</v>
      </c>
      <c r="I426" s="5">
        <v>1</v>
      </c>
      <c r="J426" s="5">
        <v>0</v>
      </c>
      <c r="K426" s="11" t="str">
        <f>HYPERLINK("https://www.geoportal.ch/ktsg/map/34?y=2758140&amp;x=1202650&amp;scale=2500&amp;topic=coord&amp;highlight=1&amp;label=Standort|Feuerverbotsplakat","Karte")</f>
        <v>Karte</v>
      </c>
    </row>
    <row r="427" spans="1:11" x14ac:dyDescent="0.2">
      <c r="A427" s="1" t="s">
        <v>424</v>
      </c>
      <c r="B427" s="1" t="s">
        <v>73</v>
      </c>
      <c r="C427" s="1" t="s">
        <v>76</v>
      </c>
      <c r="D427" s="2">
        <v>3035</v>
      </c>
      <c r="E427" s="1" t="s">
        <v>454</v>
      </c>
      <c r="F427" s="4">
        <v>2755710</v>
      </c>
      <c r="G427" s="4">
        <v>1202770</v>
      </c>
      <c r="H427" s="2">
        <v>0</v>
      </c>
      <c r="I427" s="5">
        <v>0</v>
      </c>
      <c r="J427" s="5">
        <v>1</v>
      </c>
      <c r="K427" s="11" t="str">
        <f>HYPERLINK("https://www.geoportal.ch/ktsg/map/34?y=2755710&amp;x=1202770&amp;scale=2500&amp;topic=coord&amp;highlight=1&amp;label=Standort|Feuerverbotsplakat","Karte")</f>
        <v>Karte</v>
      </c>
    </row>
    <row r="428" spans="1:11" x14ac:dyDescent="0.2">
      <c r="A428" s="1" t="s">
        <v>424</v>
      </c>
      <c r="B428" s="1" t="s">
        <v>73</v>
      </c>
      <c r="C428" s="1" t="s">
        <v>76</v>
      </c>
      <c r="D428" s="2">
        <v>3036</v>
      </c>
      <c r="E428" s="1" t="s">
        <v>656</v>
      </c>
      <c r="F428" s="4">
        <v>2756117</v>
      </c>
      <c r="G428" s="4">
        <v>1204258</v>
      </c>
      <c r="H428" s="2">
        <v>0</v>
      </c>
      <c r="I428" s="5">
        <v>0</v>
      </c>
      <c r="J428" s="5">
        <v>1</v>
      </c>
      <c r="K428" s="11" t="str">
        <f>HYPERLINK("https://www.geoportal.ch/ktsg/map/34?y=2756117&amp;x=1204258&amp;scale=2500&amp;topic=coord&amp;highlight=1&amp;label=Standort|Feuerverbotsplakat","Karte")</f>
        <v>Karte</v>
      </c>
    </row>
    <row r="429" spans="1:11" x14ac:dyDescent="0.2">
      <c r="A429" s="1" t="s">
        <v>424</v>
      </c>
      <c r="B429" s="1" t="s">
        <v>73</v>
      </c>
      <c r="C429" s="1" t="s">
        <v>76</v>
      </c>
      <c r="D429" s="2">
        <v>3037</v>
      </c>
      <c r="E429" s="1" t="s">
        <v>820</v>
      </c>
      <c r="F429" s="4">
        <v>2757790</v>
      </c>
      <c r="G429" s="4">
        <v>1205075</v>
      </c>
      <c r="H429" s="2">
        <v>0</v>
      </c>
      <c r="I429" s="5">
        <v>1</v>
      </c>
      <c r="J429" s="5">
        <v>0</v>
      </c>
      <c r="K429" s="11" t="str">
        <f>HYPERLINK("https://www.geoportal.ch/ktsg/map/34?y=2757790&amp;x=1205075&amp;scale=2500&amp;topic=coord&amp;highlight=1&amp;label=Standort|Feuerverbotsplakat","Karte")</f>
        <v>Karte</v>
      </c>
    </row>
    <row r="430" spans="1:11" x14ac:dyDescent="0.2">
      <c r="A430" s="1" t="s">
        <v>424</v>
      </c>
      <c r="B430" s="1" t="s">
        <v>73</v>
      </c>
      <c r="C430" s="1" t="s">
        <v>76</v>
      </c>
      <c r="D430" s="2">
        <v>3038</v>
      </c>
      <c r="E430" s="1" t="s">
        <v>521</v>
      </c>
      <c r="F430" s="4">
        <v>2754610</v>
      </c>
      <c r="G430" s="4">
        <v>1199325</v>
      </c>
      <c r="H430" s="2">
        <v>0</v>
      </c>
      <c r="I430" s="5">
        <v>1</v>
      </c>
      <c r="J430" s="5">
        <v>0</v>
      </c>
      <c r="K430" s="11" t="str">
        <f>HYPERLINK("https://www.geoportal.ch/ktsg/map/34?y=2754610&amp;x=1199325&amp;scale=2500&amp;topic=coord&amp;highlight=1&amp;label=Standort|Feuerverbotsplakat","Karte")</f>
        <v>Karte</v>
      </c>
    </row>
    <row r="431" spans="1:11" x14ac:dyDescent="0.2">
      <c r="A431" s="1" t="s">
        <v>424</v>
      </c>
      <c r="B431" s="1" t="s">
        <v>73</v>
      </c>
      <c r="C431" s="1" t="s">
        <v>77</v>
      </c>
      <c r="D431" s="2">
        <v>3039</v>
      </c>
      <c r="E431" s="1" t="s">
        <v>657</v>
      </c>
      <c r="F431" s="4">
        <v>2755410</v>
      </c>
      <c r="G431" s="4">
        <v>1203980</v>
      </c>
      <c r="H431" s="2">
        <v>0</v>
      </c>
      <c r="I431" s="5">
        <v>1</v>
      </c>
      <c r="J431" s="5">
        <v>0</v>
      </c>
      <c r="K431" s="11" t="str">
        <f>HYPERLINK("https://www.geoportal.ch/ktsg/map/34?y=2755410&amp;x=1203980&amp;scale=2500&amp;topic=coord&amp;highlight=1&amp;label=Standort|Feuerverbotsplakat","Karte")</f>
        <v>Karte</v>
      </c>
    </row>
    <row r="432" spans="1:11" x14ac:dyDescent="0.2">
      <c r="A432" s="1" t="s">
        <v>424</v>
      </c>
      <c r="B432" s="1" t="s">
        <v>73</v>
      </c>
      <c r="C432" s="1" t="s">
        <v>77</v>
      </c>
      <c r="D432" s="2">
        <v>3040</v>
      </c>
      <c r="E432" s="1" t="s">
        <v>658</v>
      </c>
      <c r="F432" s="4">
        <v>2755130</v>
      </c>
      <c r="G432" s="4">
        <v>1203880</v>
      </c>
      <c r="H432" s="2">
        <v>0</v>
      </c>
      <c r="I432" s="5">
        <v>1</v>
      </c>
      <c r="J432" s="5">
        <v>0</v>
      </c>
      <c r="K432" s="11" t="str">
        <f>HYPERLINK("https://www.geoportal.ch/ktsg/map/34?y=2755130&amp;x=1203880&amp;scale=2500&amp;topic=coord&amp;highlight=1&amp;label=Standort|Feuerverbotsplakat","Karte")</f>
        <v>Karte</v>
      </c>
    </row>
    <row r="433" spans="1:11" x14ac:dyDescent="0.2">
      <c r="A433" s="1" t="s">
        <v>424</v>
      </c>
      <c r="B433" s="1" t="s">
        <v>73</v>
      </c>
      <c r="C433" s="1" t="s">
        <v>77</v>
      </c>
      <c r="D433" s="2">
        <v>3041</v>
      </c>
      <c r="E433" s="1" t="s">
        <v>272</v>
      </c>
      <c r="F433" s="4">
        <v>2754490</v>
      </c>
      <c r="G433" s="4">
        <v>1203390</v>
      </c>
      <c r="H433" s="2">
        <v>0</v>
      </c>
      <c r="I433" s="5">
        <v>1</v>
      </c>
      <c r="J433" s="5">
        <v>0</v>
      </c>
      <c r="K433" s="11" t="str">
        <f>HYPERLINK("https://www.geoportal.ch/ktsg/map/34?y=2754490&amp;x=1203390&amp;scale=2500&amp;topic=coord&amp;highlight=1&amp;label=Standort|Feuerverbotsplakat","Karte")</f>
        <v>Karte</v>
      </c>
    </row>
    <row r="434" spans="1:11" x14ac:dyDescent="0.2">
      <c r="A434" s="1" t="s">
        <v>424</v>
      </c>
      <c r="B434" s="1" t="s">
        <v>73</v>
      </c>
      <c r="C434" s="1" t="s">
        <v>77</v>
      </c>
      <c r="D434" s="2">
        <v>3042</v>
      </c>
      <c r="E434" s="1" t="s">
        <v>659</v>
      </c>
      <c r="F434" s="4">
        <v>2755090</v>
      </c>
      <c r="G434" s="4">
        <v>1202050</v>
      </c>
      <c r="H434" s="2">
        <v>0</v>
      </c>
      <c r="I434" s="5">
        <v>1</v>
      </c>
      <c r="J434" s="5">
        <v>0</v>
      </c>
      <c r="K434" s="11" t="str">
        <f>HYPERLINK("https://www.geoportal.ch/ktsg/map/34?y=2755090&amp;x=1202050&amp;scale=2500&amp;topic=coord&amp;highlight=1&amp;label=Standort|Feuerverbotsplakat","Karte")</f>
        <v>Karte</v>
      </c>
    </row>
    <row r="435" spans="1:11" x14ac:dyDescent="0.2">
      <c r="A435" s="1" t="s">
        <v>424</v>
      </c>
      <c r="B435" s="1" t="s">
        <v>73</v>
      </c>
      <c r="C435" s="1" t="s">
        <v>77</v>
      </c>
      <c r="D435" s="2">
        <v>3043</v>
      </c>
      <c r="E435" s="1" t="s">
        <v>457</v>
      </c>
      <c r="F435" s="4">
        <v>2755240</v>
      </c>
      <c r="G435" s="4">
        <v>1201800</v>
      </c>
      <c r="H435" s="2">
        <v>0</v>
      </c>
      <c r="I435" s="5">
        <v>1</v>
      </c>
      <c r="J435" s="5">
        <v>0</v>
      </c>
      <c r="K435" s="11" t="str">
        <f>HYPERLINK("https://www.geoportal.ch/ktsg/map/34?y=2755240&amp;x=1201800&amp;scale=2500&amp;topic=coord&amp;highlight=1&amp;label=Standort|Feuerverbotsplakat","Karte")</f>
        <v>Karte</v>
      </c>
    </row>
    <row r="436" spans="1:11" x14ac:dyDescent="0.2">
      <c r="A436" s="1" t="s">
        <v>424</v>
      </c>
      <c r="B436" s="1" t="s">
        <v>73</v>
      </c>
      <c r="C436" s="1" t="s">
        <v>77</v>
      </c>
      <c r="D436" s="2">
        <v>3044</v>
      </c>
      <c r="E436" s="1" t="s">
        <v>458</v>
      </c>
      <c r="F436" s="4">
        <v>2755350</v>
      </c>
      <c r="G436" s="4">
        <v>1201590</v>
      </c>
      <c r="H436" s="2">
        <v>0</v>
      </c>
      <c r="I436" s="5">
        <v>1</v>
      </c>
      <c r="J436" s="5">
        <v>0</v>
      </c>
      <c r="K436" s="11" t="str">
        <f>HYPERLINK("https://www.geoportal.ch/ktsg/map/34?y=2755350&amp;x=1201590&amp;scale=2500&amp;topic=coord&amp;highlight=1&amp;label=Standort|Feuerverbotsplakat","Karte")</f>
        <v>Karte</v>
      </c>
    </row>
    <row r="437" spans="1:11" x14ac:dyDescent="0.2">
      <c r="A437" s="1" t="s">
        <v>424</v>
      </c>
      <c r="B437" s="1" t="s">
        <v>73</v>
      </c>
      <c r="C437" s="1" t="s">
        <v>74</v>
      </c>
      <c r="D437" s="2">
        <v>3045</v>
      </c>
      <c r="E437" s="1" t="s">
        <v>660</v>
      </c>
      <c r="F437" s="4">
        <v>2754190</v>
      </c>
      <c r="G437" s="4">
        <v>1198980</v>
      </c>
      <c r="H437" s="2">
        <v>0</v>
      </c>
      <c r="I437" s="5">
        <v>0</v>
      </c>
      <c r="J437" s="5">
        <v>1</v>
      </c>
      <c r="K437" s="11" t="str">
        <f>HYPERLINK("https://www.geoportal.ch/ktsg/map/34?y=2754190&amp;x=1198980&amp;scale=2500&amp;topic=coord&amp;highlight=1&amp;label=Standort|Feuerverbotsplakat","Karte")</f>
        <v>Karte</v>
      </c>
    </row>
    <row r="438" spans="1:11" x14ac:dyDescent="0.2">
      <c r="A438" s="1" t="s">
        <v>424</v>
      </c>
      <c r="B438" s="1" t="s">
        <v>73</v>
      </c>
      <c r="C438" s="1" t="s">
        <v>74</v>
      </c>
      <c r="D438" s="2">
        <v>3046</v>
      </c>
      <c r="E438" s="1" t="s">
        <v>525</v>
      </c>
      <c r="F438" s="4">
        <v>2753640</v>
      </c>
      <c r="G438" s="4">
        <v>1198730</v>
      </c>
      <c r="H438" s="2">
        <v>0</v>
      </c>
      <c r="I438" s="5">
        <v>1</v>
      </c>
      <c r="J438" s="5">
        <v>0</v>
      </c>
      <c r="K438" s="11" t="str">
        <f>HYPERLINK("https://www.geoportal.ch/ktsg/map/34?y=2753640&amp;x=1198730&amp;scale=2500&amp;topic=coord&amp;highlight=1&amp;label=Standort|Feuerverbotsplakat","Karte")</f>
        <v>Karte</v>
      </c>
    </row>
    <row r="439" spans="1:11" x14ac:dyDescent="0.2">
      <c r="A439" s="1" t="s">
        <v>424</v>
      </c>
      <c r="B439" s="1" t="s">
        <v>73</v>
      </c>
      <c r="C439" s="1" t="s">
        <v>74</v>
      </c>
      <c r="D439" s="2">
        <v>3047</v>
      </c>
      <c r="E439" s="1" t="s">
        <v>460</v>
      </c>
      <c r="F439" s="4">
        <v>2752640</v>
      </c>
      <c r="G439" s="4">
        <v>1197925</v>
      </c>
      <c r="H439" s="2">
        <v>0</v>
      </c>
      <c r="I439" s="5">
        <v>1</v>
      </c>
      <c r="J439" s="5">
        <v>0</v>
      </c>
      <c r="K439" s="11" t="str">
        <f>HYPERLINK("https://www.geoportal.ch/ktsg/map/34?y=2752640&amp;x=1197925&amp;scale=2500&amp;topic=coord&amp;highlight=1&amp;label=Standort|Feuerverbotsplakat","Karte")</f>
        <v>Karte</v>
      </c>
    </row>
    <row r="440" spans="1:11" x14ac:dyDescent="0.2">
      <c r="A440" s="1" t="s">
        <v>424</v>
      </c>
      <c r="B440" s="1" t="s">
        <v>73</v>
      </c>
      <c r="C440" s="1" t="s">
        <v>74</v>
      </c>
      <c r="D440" s="2">
        <v>3048</v>
      </c>
      <c r="E440" s="1" t="s">
        <v>661</v>
      </c>
      <c r="F440" s="4">
        <v>2751890</v>
      </c>
      <c r="G440" s="4">
        <v>1197110</v>
      </c>
      <c r="H440" s="2">
        <v>0</v>
      </c>
      <c r="I440" s="5">
        <v>0</v>
      </c>
      <c r="J440" s="5">
        <v>1</v>
      </c>
      <c r="K440" s="11" t="str">
        <f>HYPERLINK("https://www.geoportal.ch/ktsg/map/34?y=2751890&amp;x=1197110&amp;scale=2500&amp;topic=coord&amp;highlight=1&amp;label=Standort|Feuerverbotsplakat","Karte")</f>
        <v>Karte</v>
      </c>
    </row>
    <row r="441" spans="1:11" x14ac:dyDescent="0.2">
      <c r="A441" s="1" t="s">
        <v>424</v>
      </c>
      <c r="B441" s="1" t="s">
        <v>73</v>
      </c>
      <c r="C441" s="1" t="s">
        <v>74</v>
      </c>
      <c r="D441" s="2">
        <v>3049</v>
      </c>
      <c r="E441" s="1" t="s">
        <v>461</v>
      </c>
      <c r="F441" s="4">
        <v>2752000</v>
      </c>
      <c r="G441" s="4">
        <v>1196450</v>
      </c>
      <c r="H441" s="2">
        <v>0</v>
      </c>
      <c r="I441" s="5">
        <v>1</v>
      </c>
      <c r="J441" s="5">
        <v>0</v>
      </c>
      <c r="K441" s="11" t="str">
        <f>HYPERLINK("https://www.geoportal.ch/ktsg/map/34?y=2752000&amp;x=1196450&amp;scale=2500&amp;topic=coord&amp;highlight=1&amp;label=Standort|Feuerverbotsplakat","Karte")</f>
        <v>Karte</v>
      </c>
    </row>
    <row r="442" spans="1:11" x14ac:dyDescent="0.2">
      <c r="A442" s="1" t="s">
        <v>424</v>
      </c>
      <c r="B442" s="1" t="s">
        <v>73</v>
      </c>
      <c r="C442" s="1" t="s">
        <v>74</v>
      </c>
      <c r="D442" s="2">
        <v>3050</v>
      </c>
      <c r="E442" s="1" t="s">
        <v>662</v>
      </c>
      <c r="F442" s="4">
        <v>2754630</v>
      </c>
      <c r="G442" s="4">
        <v>1199360</v>
      </c>
      <c r="H442" s="2">
        <v>0</v>
      </c>
      <c r="I442" s="5">
        <v>1</v>
      </c>
      <c r="J442" s="5">
        <v>0</v>
      </c>
      <c r="K442" s="11" t="str">
        <f>HYPERLINK("https://www.geoportal.ch/ktsg/map/34?y=2754630&amp;x=1199360&amp;scale=2500&amp;topic=coord&amp;highlight=1&amp;label=Standort|Feuerverbotsplakat","Karte")</f>
        <v>Karte</v>
      </c>
    </row>
    <row r="443" spans="1:11" x14ac:dyDescent="0.2">
      <c r="A443" s="1" t="s">
        <v>424</v>
      </c>
      <c r="B443" s="1" t="s">
        <v>73</v>
      </c>
      <c r="C443" s="1" t="s">
        <v>74</v>
      </c>
      <c r="D443" s="2">
        <v>3051</v>
      </c>
      <c r="E443" s="1" t="s">
        <v>522</v>
      </c>
      <c r="F443" s="4">
        <v>2750685</v>
      </c>
      <c r="G443" s="4">
        <v>1197620</v>
      </c>
      <c r="H443" s="2">
        <v>0</v>
      </c>
      <c r="I443" s="5">
        <v>1</v>
      </c>
      <c r="J443" s="5">
        <v>0</v>
      </c>
      <c r="K443" s="11" t="str">
        <f>HYPERLINK("https://www.geoportal.ch/ktsg/map/34?y=2750685&amp;x=1197620&amp;scale=2500&amp;topic=coord&amp;highlight=1&amp;label=Standort|Feuerverbotsplakat","Karte")</f>
        <v>Karte</v>
      </c>
    </row>
    <row r="444" spans="1:11" x14ac:dyDescent="0.2">
      <c r="A444" s="1" t="s">
        <v>424</v>
      </c>
      <c r="B444" s="1" t="s">
        <v>73</v>
      </c>
      <c r="C444" s="1" t="s">
        <v>74</v>
      </c>
      <c r="D444" s="2">
        <v>3052</v>
      </c>
      <c r="E444" s="1" t="s">
        <v>523</v>
      </c>
      <c r="F444" s="4">
        <v>2751860</v>
      </c>
      <c r="G444" s="4">
        <v>1195890</v>
      </c>
      <c r="H444" s="2">
        <v>0</v>
      </c>
      <c r="I444" s="5">
        <v>1</v>
      </c>
      <c r="J444" s="5">
        <v>0</v>
      </c>
      <c r="K444" s="11" t="str">
        <f>HYPERLINK("https://www.geoportal.ch/ktsg/map/34?y=2751860&amp;x=1195890&amp;scale=2500&amp;topic=coord&amp;highlight=1&amp;label=Standort|Feuerverbotsplakat","Karte")</f>
        <v>Karte</v>
      </c>
    </row>
    <row r="445" spans="1:11" x14ac:dyDescent="0.2">
      <c r="A445" s="1" t="s">
        <v>424</v>
      </c>
      <c r="B445" s="1" t="s">
        <v>73</v>
      </c>
      <c r="C445" s="1" t="s">
        <v>74</v>
      </c>
      <c r="D445" s="2">
        <v>3053</v>
      </c>
      <c r="E445" s="1" t="s">
        <v>524</v>
      </c>
      <c r="F445" s="4">
        <v>2753380</v>
      </c>
      <c r="G445" s="4">
        <v>1197920</v>
      </c>
      <c r="H445" s="2">
        <v>0</v>
      </c>
      <c r="I445" s="5">
        <v>1</v>
      </c>
      <c r="J445" s="5">
        <v>0</v>
      </c>
      <c r="K445" s="11" t="str">
        <f>HYPERLINK("https://www.geoportal.ch/ktsg/map/34?y=2753380&amp;x=1197920&amp;scale=2500&amp;topic=coord&amp;highlight=1&amp;label=Standort|Feuerverbotsplakat","Karte")</f>
        <v>Karte</v>
      </c>
    </row>
    <row r="446" spans="1:11" x14ac:dyDescent="0.2">
      <c r="A446" s="1" t="s">
        <v>424</v>
      </c>
      <c r="B446" s="1" t="s">
        <v>90</v>
      </c>
      <c r="C446" s="1" t="s">
        <v>92</v>
      </c>
      <c r="D446" s="2">
        <v>3054</v>
      </c>
      <c r="E446" s="1" t="s">
        <v>297</v>
      </c>
      <c r="F446" s="4">
        <v>2732919</v>
      </c>
      <c r="G446" s="4">
        <v>1219242</v>
      </c>
      <c r="H446" s="2">
        <v>0</v>
      </c>
      <c r="I446" s="5">
        <v>1</v>
      </c>
      <c r="J446" s="5">
        <v>0</v>
      </c>
      <c r="K446" s="11" t="str">
        <f>HYPERLINK("https://www.geoportal.ch/ktsg/map/34?y=2732919&amp;x=1219242&amp;scale=2500&amp;topic=coord&amp;highlight=1&amp;label=Standort|Feuerverbotsplakat","Karte")</f>
        <v>Karte</v>
      </c>
    </row>
    <row r="447" spans="1:11" x14ac:dyDescent="0.2">
      <c r="A447" s="1" t="s">
        <v>424</v>
      </c>
      <c r="B447" s="1" t="s">
        <v>90</v>
      </c>
      <c r="C447" s="1" t="s">
        <v>92</v>
      </c>
      <c r="D447" s="2">
        <v>3055</v>
      </c>
      <c r="E447" s="1" t="s">
        <v>200</v>
      </c>
      <c r="F447" s="4">
        <v>2734821</v>
      </c>
      <c r="G447" s="4">
        <v>1219514</v>
      </c>
      <c r="H447" s="2">
        <v>0</v>
      </c>
      <c r="I447" s="5">
        <v>1</v>
      </c>
      <c r="J447" s="5">
        <v>0</v>
      </c>
      <c r="K447" s="11" t="str">
        <f>HYPERLINK("https://www.geoportal.ch/ktsg/map/34?y=2734821&amp;x=1219514&amp;scale=2500&amp;topic=coord&amp;highlight=1&amp;label=Standort|Feuerverbotsplakat","Karte")</f>
        <v>Karte</v>
      </c>
    </row>
    <row r="448" spans="1:11" x14ac:dyDescent="0.2">
      <c r="A448" s="1" t="s">
        <v>424</v>
      </c>
      <c r="B448" s="1" t="s">
        <v>90</v>
      </c>
      <c r="C448" s="1" t="s">
        <v>92</v>
      </c>
      <c r="D448" s="2">
        <v>3056</v>
      </c>
      <c r="E448" s="1" t="s">
        <v>417</v>
      </c>
      <c r="F448" s="4">
        <v>2734552</v>
      </c>
      <c r="G448" s="4">
        <v>1219549</v>
      </c>
      <c r="H448" s="2">
        <v>0</v>
      </c>
      <c r="I448" s="5">
        <v>4</v>
      </c>
      <c r="J448" s="5">
        <v>0</v>
      </c>
      <c r="K448" s="11" t="str">
        <f>HYPERLINK("https://www.geoportal.ch/ktsg/map/34?y=2734552&amp;x=1219549&amp;scale=2500&amp;topic=coord&amp;highlight=1&amp;label=Standort|Feuerverbotsplakat","Karte")</f>
        <v>Karte</v>
      </c>
    </row>
    <row r="449" spans="1:11" x14ac:dyDescent="0.2">
      <c r="A449" s="1" t="s">
        <v>424</v>
      </c>
      <c r="B449" s="1" t="s">
        <v>90</v>
      </c>
      <c r="C449" s="1" t="s">
        <v>92</v>
      </c>
      <c r="D449" s="2">
        <v>3057</v>
      </c>
      <c r="E449" s="1" t="s">
        <v>296</v>
      </c>
      <c r="F449" s="4">
        <v>2734863</v>
      </c>
      <c r="G449" s="4">
        <v>1221318</v>
      </c>
      <c r="H449" s="2">
        <v>0</v>
      </c>
      <c r="I449" s="5">
        <v>1</v>
      </c>
      <c r="J449" s="5">
        <v>0</v>
      </c>
      <c r="K449" s="11" t="str">
        <f>HYPERLINK("https://www.geoportal.ch/ktsg/map/34?y=2734863&amp;x=1221318&amp;scale=2500&amp;topic=coord&amp;highlight=1&amp;label=Standort|Feuerverbotsplakat","Karte")</f>
        <v>Karte</v>
      </c>
    </row>
    <row r="450" spans="1:11" x14ac:dyDescent="0.2">
      <c r="A450" s="1" t="s">
        <v>424</v>
      </c>
      <c r="B450" s="1" t="s">
        <v>90</v>
      </c>
      <c r="C450" s="1" t="s">
        <v>92</v>
      </c>
      <c r="D450" s="2">
        <v>3058</v>
      </c>
      <c r="E450" s="1" t="s">
        <v>295</v>
      </c>
      <c r="F450" s="4">
        <v>2736278</v>
      </c>
      <c r="G450" s="4">
        <v>1221418</v>
      </c>
      <c r="H450" s="2">
        <v>0</v>
      </c>
      <c r="I450" s="5">
        <v>1</v>
      </c>
      <c r="J450" s="5">
        <v>0</v>
      </c>
      <c r="K450" s="11" t="str">
        <f>HYPERLINK("https://www.geoportal.ch/ktsg/map/34?y=2736278&amp;x=1221418&amp;scale=2500&amp;topic=coord&amp;highlight=1&amp;label=Standort|Feuerverbotsplakat","Karte")</f>
        <v>Karte</v>
      </c>
    </row>
    <row r="451" spans="1:11" x14ac:dyDescent="0.2">
      <c r="A451" s="1" t="s">
        <v>424</v>
      </c>
      <c r="B451" s="1" t="s">
        <v>90</v>
      </c>
      <c r="C451" s="1" t="s">
        <v>92</v>
      </c>
      <c r="D451" s="2">
        <v>3059</v>
      </c>
      <c r="E451" s="1" t="s">
        <v>294</v>
      </c>
      <c r="F451" s="4">
        <v>2735464</v>
      </c>
      <c r="G451" s="4">
        <v>1221359</v>
      </c>
      <c r="H451" s="2">
        <v>0</v>
      </c>
      <c r="I451" s="5">
        <v>1</v>
      </c>
      <c r="J451" s="5">
        <v>0</v>
      </c>
      <c r="K451" s="11" t="str">
        <f>HYPERLINK("https://www.geoportal.ch/ktsg/map/34?y=2735464&amp;x=1221359&amp;scale=2500&amp;topic=coord&amp;highlight=1&amp;label=Standort|Feuerverbotsplakat","Karte")</f>
        <v>Karte</v>
      </c>
    </row>
    <row r="452" spans="1:11" x14ac:dyDescent="0.2">
      <c r="A452" s="1" t="s">
        <v>424</v>
      </c>
      <c r="B452" s="1" t="s">
        <v>90</v>
      </c>
      <c r="C452" s="1" t="s">
        <v>86</v>
      </c>
      <c r="D452" s="2">
        <v>3060</v>
      </c>
      <c r="E452" s="1" t="s">
        <v>663</v>
      </c>
      <c r="F452" s="4">
        <v>2734280</v>
      </c>
      <c r="G452" s="4">
        <v>1217180</v>
      </c>
      <c r="H452" s="2">
        <v>0</v>
      </c>
      <c r="I452" s="5">
        <v>0</v>
      </c>
      <c r="J452" s="5">
        <v>1</v>
      </c>
      <c r="K452" s="11" t="str">
        <f>HYPERLINK("https://www.geoportal.ch/ktsg/map/34?y=2734280&amp;x=1217180&amp;scale=2500&amp;topic=coord&amp;highlight=1&amp;label=Standort|Feuerverbotsplakat","Karte")</f>
        <v>Karte</v>
      </c>
    </row>
    <row r="453" spans="1:11" x14ac:dyDescent="0.2">
      <c r="A453" s="1" t="s">
        <v>424</v>
      </c>
      <c r="B453" s="1" t="s">
        <v>90</v>
      </c>
      <c r="C453" s="1" t="s">
        <v>86</v>
      </c>
      <c r="D453" s="2">
        <v>3061</v>
      </c>
      <c r="E453" s="1" t="s">
        <v>527</v>
      </c>
      <c r="F453" s="4">
        <v>2734571</v>
      </c>
      <c r="G453" s="4">
        <v>1219413</v>
      </c>
      <c r="H453" s="2">
        <v>0</v>
      </c>
      <c r="I453" s="5">
        <v>0</v>
      </c>
      <c r="J453" s="5">
        <v>1</v>
      </c>
      <c r="K453" s="11" t="str">
        <f>HYPERLINK("https://www.geoportal.ch/ktsg/map/34?y=2734571&amp;x=1219413&amp;scale=2500&amp;topic=coord&amp;highlight=1&amp;label=Standort|Feuerverbotsplakat","Karte")</f>
        <v>Karte</v>
      </c>
    </row>
    <row r="454" spans="1:11" x14ac:dyDescent="0.2">
      <c r="A454" s="1" t="s">
        <v>424</v>
      </c>
      <c r="B454" s="1" t="s">
        <v>90</v>
      </c>
      <c r="C454" s="1" t="s">
        <v>91</v>
      </c>
      <c r="D454" s="2">
        <v>3062</v>
      </c>
      <c r="E454" s="1" t="s">
        <v>433</v>
      </c>
      <c r="F454" s="4">
        <v>2737543</v>
      </c>
      <c r="G454" s="4">
        <v>1219578</v>
      </c>
      <c r="H454" s="2">
        <v>0</v>
      </c>
      <c r="I454" s="5">
        <v>1</v>
      </c>
      <c r="J454" s="5">
        <v>0</v>
      </c>
      <c r="K454" s="11" t="str">
        <f>HYPERLINK("https://www.geoportal.ch/ktsg/map/34?y=2737543&amp;x=1219578&amp;scale=2500&amp;topic=coord&amp;highlight=1&amp;label=Standort|Feuerverbotsplakat","Karte")</f>
        <v>Karte</v>
      </c>
    </row>
    <row r="455" spans="1:11" x14ac:dyDescent="0.2">
      <c r="A455" s="1" t="s">
        <v>424</v>
      </c>
      <c r="B455" s="1" t="s">
        <v>90</v>
      </c>
      <c r="C455" s="1" t="s">
        <v>91</v>
      </c>
      <c r="D455" s="2">
        <v>3063</v>
      </c>
      <c r="E455" s="1" t="s">
        <v>434</v>
      </c>
      <c r="F455" s="4">
        <v>2737845</v>
      </c>
      <c r="G455" s="4">
        <v>1219652</v>
      </c>
      <c r="H455" s="2">
        <v>0</v>
      </c>
      <c r="I455" s="5">
        <v>1</v>
      </c>
      <c r="J455" s="5">
        <v>0</v>
      </c>
      <c r="K455" s="11" t="str">
        <f>HYPERLINK("https://www.geoportal.ch/ktsg/map/34?y=2737845&amp;x=1219652&amp;scale=2500&amp;topic=coord&amp;highlight=1&amp;label=Standort|Feuerverbotsplakat","Karte")</f>
        <v>Karte</v>
      </c>
    </row>
    <row r="456" spans="1:11" x14ac:dyDescent="0.2">
      <c r="A456" s="1" t="s">
        <v>424</v>
      </c>
      <c r="B456" s="1" t="s">
        <v>90</v>
      </c>
      <c r="C456" s="1" t="s">
        <v>91</v>
      </c>
      <c r="D456" s="2">
        <v>3064</v>
      </c>
      <c r="E456" s="1" t="s">
        <v>664</v>
      </c>
      <c r="F456" s="4">
        <v>2736796</v>
      </c>
      <c r="G456" s="4">
        <v>1219023</v>
      </c>
      <c r="H456" s="2">
        <v>0</v>
      </c>
      <c r="I456" s="5">
        <v>1</v>
      </c>
      <c r="J456" s="5">
        <v>0</v>
      </c>
      <c r="K456" s="11" t="str">
        <f>HYPERLINK("https://www.geoportal.ch/ktsg/map/34?y=2736796&amp;x=1219023&amp;scale=2500&amp;topic=coord&amp;highlight=1&amp;label=Standort|Feuerverbotsplakat","Karte")</f>
        <v>Karte</v>
      </c>
    </row>
    <row r="457" spans="1:11" x14ac:dyDescent="0.2">
      <c r="A457" s="1" t="s">
        <v>424</v>
      </c>
      <c r="B457" s="1" t="s">
        <v>90</v>
      </c>
      <c r="C457" s="1" t="s">
        <v>91</v>
      </c>
      <c r="D457" s="2">
        <v>3065</v>
      </c>
      <c r="E457" s="1" t="s">
        <v>821</v>
      </c>
      <c r="F457" s="4">
        <v>2736633</v>
      </c>
      <c r="G457" s="4">
        <v>1218854</v>
      </c>
      <c r="H457" s="2">
        <v>0</v>
      </c>
      <c r="I457" s="5">
        <v>1</v>
      </c>
      <c r="J457" s="5">
        <v>0</v>
      </c>
      <c r="K457" s="11" t="str">
        <f>HYPERLINK("https://www.geoportal.ch/ktsg/map/34?y=2736633&amp;x=1218854&amp;scale=2500&amp;topic=coord&amp;highlight=1&amp;label=Standort|Feuerverbotsplakat","Karte")</f>
        <v>Karte</v>
      </c>
    </row>
    <row r="458" spans="1:11" x14ac:dyDescent="0.2">
      <c r="A458" s="1" t="s">
        <v>424</v>
      </c>
      <c r="B458" s="1" t="s">
        <v>90</v>
      </c>
      <c r="C458" s="1" t="s">
        <v>91</v>
      </c>
      <c r="D458" s="2">
        <v>3066</v>
      </c>
      <c r="E458" s="1" t="s">
        <v>665</v>
      </c>
      <c r="F458" s="4">
        <v>2737942</v>
      </c>
      <c r="G458" s="4">
        <v>1218412</v>
      </c>
      <c r="H458" s="2">
        <v>0</v>
      </c>
      <c r="I458" s="5">
        <v>1</v>
      </c>
      <c r="J458" s="5">
        <v>0</v>
      </c>
      <c r="K458" s="11" t="str">
        <f>HYPERLINK("https://www.geoportal.ch/ktsg/map/34?y=2737942&amp;x=1218412&amp;scale=2500&amp;topic=coord&amp;highlight=1&amp;label=Standort|Feuerverbotsplakat","Karte")</f>
        <v>Karte</v>
      </c>
    </row>
    <row r="459" spans="1:11" x14ac:dyDescent="0.2">
      <c r="A459" s="1" t="s">
        <v>424</v>
      </c>
      <c r="B459" s="1" t="s">
        <v>90</v>
      </c>
      <c r="C459" s="1" t="s">
        <v>91</v>
      </c>
      <c r="D459" s="2">
        <v>3067</v>
      </c>
      <c r="E459" s="1" t="s">
        <v>435</v>
      </c>
      <c r="F459" s="4">
        <v>2739766</v>
      </c>
      <c r="G459" s="4">
        <v>1219605</v>
      </c>
      <c r="H459" s="2">
        <v>0</v>
      </c>
      <c r="I459" s="5">
        <v>1</v>
      </c>
      <c r="J459" s="5">
        <v>0</v>
      </c>
      <c r="K459" s="11" t="str">
        <f>HYPERLINK("https://www.geoportal.ch/ktsg/map/34?y=2739766&amp;x=1219605&amp;scale=2500&amp;topic=coord&amp;highlight=1&amp;label=Standort|Feuerverbotsplakat","Karte")</f>
        <v>Karte</v>
      </c>
    </row>
    <row r="460" spans="1:11" x14ac:dyDescent="0.2">
      <c r="A460" s="1" t="s">
        <v>424</v>
      </c>
      <c r="B460" s="1" t="s">
        <v>90</v>
      </c>
      <c r="C460" s="1" t="s">
        <v>91</v>
      </c>
      <c r="D460" s="2">
        <v>3068</v>
      </c>
      <c r="E460" s="1" t="s">
        <v>666</v>
      </c>
      <c r="F460" s="4">
        <v>2739440</v>
      </c>
      <c r="G460" s="4">
        <v>1219600</v>
      </c>
      <c r="H460" s="2">
        <v>0</v>
      </c>
      <c r="I460" s="5">
        <v>1</v>
      </c>
      <c r="J460" s="5">
        <v>0</v>
      </c>
      <c r="K460" s="11" t="str">
        <f>HYPERLINK("https://www.geoportal.ch/ktsg/map/34?y=2739440&amp;x=1219600&amp;scale=2500&amp;topic=coord&amp;highlight=1&amp;label=Standort|Feuerverbotsplakat","Karte")</f>
        <v>Karte</v>
      </c>
    </row>
    <row r="461" spans="1:11" x14ac:dyDescent="0.2">
      <c r="A461" s="1" t="s">
        <v>424</v>
      </c>
      <c r="B461" s="1" t="s">
        <v>90</v>
      </c>
      <c r="C461" s="1" t="s">
        <v>91</v>
      </c>
      <c r="D461" s="2">
        <v>3069</v>
      </c>
      <c r="E461" s="1" t="s">
        <v>526</v>
      </c>
      <c r="F461" s="4">
        <v>2737515</v>
      </c>
      <c r="G461" s="4">
        <v>1218391</v>
      </c>
      <c r="H461" s="2">
        <v>0</v>
      </c>
      <c r="I461" s="5">
        <v>0</v>
      </c>
      <c r="J461" s="5">
        <v>1</v>
      </c>
      <c r="K461" s="11" t="str">
        <f>HYPERLINK("https://www.geoportal.ch/ktsg/map/34?y=2737515&amp;x=1218391&amp;scale=2500&amp;topic=coord&amp;highlight=1&amp;label=Standort|Feuerverbotsplakat","Karte")</f>
        <v>Karte</v>
      </c>
    </row>
    <row r="462" spans="1:11" x14ac:dyDescent="0.2">
      <c r="A462" s="1" t="s">
        <v>424</v>
      </c>
      <c r="B462" s="1" t="s">
        <v>82</v>
      </c>
      <c r="C462" s="1" t="s">
        <v>84</v>
      </c>
      <c r="D462" s="2">
        <v>3070</v>
      </c>
      <c r="E462" s="1" t="s">
        <v>285</v>
      </c>
      <c r="F462" s="4">
        <v>2751850</v>
      </c>
      <c r="G462" s="4">
        <v>1212970</v>
      </c>
      <c r="H462" s="2">
        <v>0</v>
      </c>
      <c r="I462" s="5">
        <v>1</v>
      </c>
      <c r="J462" s="5">
        <v>0</v>
      </c>
      <c r="K462" s="11" t="str">
        <f>HYPERLINK("https://www.geoportal.ch/ktsg/map/34?y=2751850&amp;x=1212970&amp;scale=2500&amp;topic=coord&amp;highlight=1&amp;label=Standort|Feuerverbotsplakat","Karte")</f>
        <v>Karte</v>
      </c>
    </row>
    <row r="463" spans="1:11" x14ac:dyDescent="0.2">
      <c r="A463" s="1" t="s">
        <v>424</v>
      </c>
      <c r="B463" s="1" t="s">
        <v>82</v>
      </c>
      <c r="C463" s="1" t="s">
        <v>84</v>
      </c>
      <c r="D463" s="2">
        <v>3071</v>
      </c>
      <c r="E463" s="1" t="s">
        <v>284</v>
      </c>
      <c r="F463" s="4">
        <v>2751880</v>
      </c>
      <c r="G463" s="4">
        <v>1212930</v>
      </c>
      <c r="H463" s="2">
        <v>0</v>
      </c>
      <c r="I463" s="5">
        <v>1</v>
      </c>
      <c r="J463" s="5">
        <v>0</v>
      </c>
      <c r="K463" s="11" t="str">
        <f>HYPERLINK("https://www.geoportal.ch/ktsg/map/34?y=2751880&amp;x=1212930&amp;scale=2500&amp;topic=coord&amp;highlight=1&amp;label=Standort|Feuerverbotsplakat","Karte")</f>
        <v>Karte</v>
      </c>
    </row>
    <row r="464" spans="1:11" x14ac:dyDescent="0.2">
      <c r="A464" s="1" t="s">
        <v>424</v>
      </c>
      <c r="B464" s="1" t="s">
        <v>82</v>
      </c>
      <c r="C464" s="1" t="s">
        <v>84</v>
      </c>
      <c r="D464" s="2">
        <v>3072</v>
      </c>
      <c r="E464" s="1" t="s">
        <v>667</v>
      </c>
      <c r="F464" s="4">
        <v>2752010</v>
      </c>
      <c r="G464" s="4">
        <v>1213850</v>
      </c>
      <c r="H464" s="2">
        <v>0</v>
      </c>
      <c r="I464" s="5">
        <v>1</v>
      </c>
      <c r="J464" s="5">
        <v>0</v>
      </c>
      <c r="K464" s="11" t="str">
        <f>HYPERLINK("https://www.geoportal.ch/ktsg/map/34?y=2752010&amp;x=1213850&amp;scale=2500&amp;topic=coord&amp;highlight=1&amp;label=Standort|Feuerverbotsplakat","Karte")</f>
        <v>Karte</v>
      </c>
    </row>
    <row r="465" spans="1:11" x14ac:dyDescent="0.2">
      <c r="A465" s="1" t="s">
        <v>424</v>
      </c>
      <c r="B465" s="1" t="s">
        <v>82</v>
      </c>
      <c r="C465" s="1" t="s">
        <v>84</v>
      </c>
      <c r="D465" s="2">
        <v>3073</v>
      </c>
      <c r="E465" s="1" t="s">
        <v>283</v>
      </c>
      <c r="F465" s="4">
        <v>2751900</v>
      </c>
      <c r="G465" s="4">
        <v>1213670</v>
      </c>
      <c r="H465" s="2">
        <v>0</v>
      </c>
      <c r="I465" s="5">
        <v>1</v>
      </c>
      <c r="J465" s="5">
        <v>0</v>
      </c>
      <c r="K465" s="11" t="str">
        <f>HYPERLINK("https://www.geoportal.ch/ktsg/map/34?y=2751900&amp;x=1213670&amp;scale=2500&amp;topic=coord&amp;highlight=1&amp;label=Standort|Feuerverbotsplakat","Karte")</f>
        <v>Karte</v>
      </c>
    </row>
    <row r="466" spans="1:11" x14ac:dyDescent="0.2">
      <c r="A466" s="1" t="s">
        <v>424</v>
      </c>
      <c r="B466" s="1" t="s">
        <v>82</v>
      </c>
      <c r="C466" s="1" t="s">
        <v>84</v>
      </c>
      <c r="D466" s="2">
        <v>3074</v>
      </c>
      <c r="E466" s="1" t="s">
        <v>281</v>
      </c>
      <c r="F466" s="4">
        <v>2754690</v>
      </c>
      <c r="G466" s="4">
        <v>1212780</v>
      </c>
      <c r="H466" s="2">
        <v>0</v>
      </c>
      <c r="I466" s="5">
        <v>1</v>
      </c>
      <c r="J466" s="5">
        <v>0</v>
      </c>
      <c r="K466" s="11" t="str">
        <f>HYPERLINK("https://www.geoportal.ch/ktsg/map/34?y=2754690&amp;x=1212780&amp;scale=2500&amp;topic=coord&amp;highlight=1&amp;label=Standort|Feuerverbotsplakat","Karte")</f>
        <v>Karte</v>
      </c>
    </row>
    <row r="467" spans="1:11" x14ac:dyDescent="0.2">
      <c r="A467" s="1" t="s">
        <v>424</v>
      </c>
      <c r="B467" s="1" t="s">
        <v>82</v>
      </c>
      <c r="C467" s="1" t="s">
        <v>84</v>
      </c>
      <c r="D467" s="2">
        <v>3075</v>
      </c>
      <c r="E467" s="1" t="s">
        <v>528</v>
      </c>
      <c r="F467" s="4">
        <v>2752362</v>
      </c>
      <c r="G467" s="4">
        <v>1213537</v>
      </c>
      <c r="H467" s="2">
        <v>0</v>
      </c>
      <c r="I467" s="5">
        <v>1</v>
      </c>
      <c r="J467" s="5">
        <v>0</v>
      </c>
      <c r="K467" s="11" t="str">
        <f>HYPERLINK("https://www.geoportal.ch/ktsg/map/34?y=2752362&amp;x=1213537&amp;scale=2500&amp;topic=coord&amp;highlight=1&amp;label=Standort|Feuerverbotsplakat","Karte")</f>
        <v>Karte</v>
      </c>
    </row>
    <row r="468" spans="1:11" x14ac:dyDescent="0.2">
      <c r="A468" s="1" t="s">
        <v>424</v>
      </c>
      <c r="B468" s="1" t="s">
        <v>78</v>
      </c>
      <c r="C468" s="1" t="s">
        <v>79</v>
      </c>
      <c r="D468" s="2">
        <v>3076</v>
      </c>
      <c r="E468" s="1" t="s">
        <v>668</v>
      </c>
      <c r="F468" s="4">
        <v>2751140</v>
      </c>
      <c r="G468" s="4">
        <v>1210570</v>
      </c>
      <c r="H468" s="2">
        <v>0</v>
      </c>
      <c r="I468" s="5">
        <v>1</v>
      </c>
      <c r="J468" s="5">
        <v>0</v>
      </c>
      <c r="K468" s="11" t="str">
        <f>HYPERLINK("https://www.geoportal.ch/ktsg/map/34?y=2751140&amp;x=1210570&amp;scale=2500&amp;topic=coord&amp;highlight=1&amp;label=Standort|Feuerverbotsplakat","Karte")</f>
        <v>Karte</v>
      </c>
    </row>
    <row r="469" spans="1:11" x14ac:dyDescent="0.2">
      <c r="A469" s="1" t="s">
        <v>424</v>
      </c>
      <c r="B469" s="1" t="s">
        <v>78</v>
      </c>
      <c r="C469" s="1" t="s">
        <v>79</v>
      </c>
      <c r="D469" s="2">
        <v>3077</v>
      </c>
      <c r="E469" s="1" t="s">
        <v>669</v>
      </c>
      <c r="F469" s="4">
        <v>2748970</v>
      </c>
      <c r="G469" s="4">
        <v>1210120</v>
      </c>
      <c r="H469" s="2">
        <v>0</v>
      </c>
      <c r="I469" s="5">
        <v>1</v>
      </c>
      <c r="J469" s="5">
        <v>0</v>
      </c>
      <c r="K469" s="11" t="str">
        <f>HYPERLINK("https://www.geoportal.ch/ktsg/map/34?y=2748970&amp;x=1210120&amp;scale=2500&amp;topic=coord&amp;highlight=1&amp;label=Standort|Feuerverbotsplakat","Karte")</f>
        <v>Karte</v>
      </c>
    </row>
    <row r="470" spans="1:11" x14ac:dyDescent="0.2">
      <c r="A470" s="1" t="s">
        <v>424</v>
      </c>
      <c r="B470" s="1" t="s">
        <v>78</v>
      </c>
      <c r="C470" s="1" t="s">
        <v>79</v>
      </c>
      <c r="D470" s="2">
        <v>3078</v>
      </c>
      <c r="E470" s="1" t="s">
        <v>450</v>
      </c>
      <c r="F470" s="4">
        <v>2749960</v>
      </c>
      <c r="G470" s="4">
        <v>1209150</v>
      </c>
      <c r="H470" s="2">
        <v>0</v>
      </c>
      <c r="I470" s="5">
        <v>1</v>
      </c>
      <c r="J470" s="5">
        <v>0</v>
      </c>
      <c r="K470" s="11" t="str">
        <f>HYPERLINK("https://www.geoportal.ch/ktsg/map/34?y=2749960&amp;x=1209150&amp;scale=2500&amp;topic=coord&amp;highlight=1&amp;label=Standort|Feuerverbotsplakat","Karte")</f>
        <v>Karte</v>
      </c>
    </row>
    <row r="471" spans="1:11" x14ac:dyDescent="0.2">
      <c r="A471" s="1" t="s">
        <v>424</v>
      </c>
      <c r="B471" s="1" t="s">
        <v>78</v>
      </c>
      <c r="C471" s="1" t="s">
        <v>79</v>
      </c>
      <c r="D471" s="2">
        <v>3079</v>
      </c>
      <c r="E471" s="1" t="s">
        <v>670</v>
      </c>
      <c r="F471" s="4">
        <v>2750910</v>
      </c>
      <c r="G471" s="4">
        <v>1208880</v>
      </c>
      <c r="H471" s="2">
        <v>0</v>
      </c>
      <c r="I471" s="5">
        <v>1</v>
      </c>
      <c r="J471" s="5">
        <v>0</v>
      </c>
      <c r="K471" s="11" t="str">
        <f>HYPERLINK("https://www.geoportal.ch/ktsg/map/34?y=2750910&amp;x=1208880&amp;scale=2500&amp;topic=coord&amp;highlight=1&amp;label=Standort|Feuerverbotsplakat","Karte")</f>
        <v>Karte</v>
      </c>
    </row>
    <row r="472" spans="1:11" x14ac:dyDescent="0.2">
      <c r="A472" s="1" t="s">
        <v>424</v>
      </c>
      <c r="B472" s="1" t="s">
        <v>78</v>
      </c>
      <c r="C472" s="1" t="s">
        <v>79</v>
      </c>
      <c r="D472" s="2">
        <v>3080</v>
      </c>
      <c r="E472" s="1" t="s">
        <v>671</v>
      </c>
      <c r="F472" s="4">
        <v>2752310</v>
      </c>
      <c r="G472" s="4">
        <v>1209070</v>
      </c>
      <c r="H472" s="2">
        <v>0</v>
      </c>
      <c r="I472" s="5">
        <v>1</v>
      </c>
      <c r="J472" s="5">
        <v>0</v>
      </c>
      <c r="K472" s="11" t="str">
        <f>HYPERLINK("https://www.geoportal.ch/ktsg/map/34?y=2752310&amp;x=1209070&amp;scale=2500&amp;topic=coord&amp;highlight=1&amp;label=Standort|Feuerverbotsplakat","Karte")</f>
        <v>Karte</v>
      </c>
    </row>
    <row r="473" spans="1:11" x14ac:dyDescent="0.2">
      <c r="A473" s="1" t="s">
        <v>424</v>
      </c>
      <c r="B473" s="1" t="s">
        <v>78</v>
      </c>
      <c r="C473" s="1" t="s">
        <v>79</v>
      </c>
      <c r="D473" s="2">
        <v>3081</v>
      </c>
      <c r="E473" s="1" t="s">
        <v>451</v>
      </c>
      <c r="F473" s="4">
        <v>2753160</v>
      </c>
      <c r="G473" s="4">
        <v>1209960</v>
      </c>
      <c r="H473" s="2">
        <v>0</v>
      </c>
      <c r="I473" s="5">
        <v>1</v>
      </c>
      <c r="J473" s="5">
        <v>0</v>
      </c>
      <c r="K473" s="11" t="str">
        <f>HYPERLINK("https://www.geoportal.ch/ktsg/map/34?y=2753160&amp;x=1209960&amp;scale=2500&amp;topic=coord&amp;highlight=1&amp;label=Standort|Feuerverbotsplakat","Karte")</f>
        <v>Karte</v>
      </c>
    </row>
    <row r="474" spans="1:11" x14ac:dyDescent="0.2">
      <c r="A474" s="1" t="s">
        <v>424</v>
      </c>
      <c r="B474" s="1" t="s">
        <v>78</v>
      </c>
      <c r="C474" s="1" t="s">
        <v>79</v>
      </c>
      <c r="D474" s="2">
        <v>3082</v>
      </c>
      <c r="E474" s="1" t="s">
        <v>452</v>
      </c>
      <c r="F474" s="4">
        <v>2754260</v>
      </c>
      <c r="G474" s="4">
        <v>1209410</v>
      </c>
      <c r="H474" s="2">
        <v>0</v>
      </c>
      <c r="I474" s="5">
        <v>1</v>
      </c>
      <c r="J474" s="5">
        <v>0</v>
      </c>
      <c r="K474" s="11" t="str">
        <f>HYPERLINK("https://www.geoportal.ch/ktsg/map/34?y=2754260&amp;x=1209410&amp;scale=2500&amp;topic=coord&amp;highlight=1&amp;label=Standort|Feuerverbotsplakat","Karte")</f>
        <v>Karte</v>
      </c>
    </row>
    <row r="475" spans="1:11" x14ac:dyDescent="0.2">
      <c r="A475" s="1" t="s">
        <v>424</v>
      </c>
      <c r="B475" s="1" t="s">
        <v>78</v>
      </c>
      <c r="C475" s="1" t="s">
        <v>79</v>
      </c>
      <c r="D475" s="2">
        <v>3083</v>
      </c>
      <c r="E475" s="1" t="s">
        <v>672</v>
      </c>
      <c r="F475" s="4">
        <v>2750490</v>
      </c>
      <c r="G475" s="4">
        <v>1207490</v>
      </c>
      <c r="H475" s="2">
        <v>0</v>
      </c>
      <c r="I475" s="5">
        <v>1</v>
      </c>
      <c r="J475" s="5">
        <v>0</v>
      </c>
      <c r="K475" s="11" t="str">
        <f>HYPERLINK("https://www.geoportal.ch/ktsg/map/34?y=2750490&amp;x=1207490&amp;scale=2500&amp;topic=coord&amp;highlight=1&amp;label=Standort|Feuerverbotsplakat","Karte")</f>
        <v>Karte</v>
      </c>
    </row>
    <row r="476" spans="1:11" x14ac:dyDescent="0.2">
      <c r="A476" s="1" t="s">
        <v>424</v>
      </c>
      <c r="B476" s="1" t="s">
        <v>78</v>
      </c>
      <c r="C476" s="1" t="s">
        <v>79</v>
      </c>
      <c r="D476" s="2">
        <v>3084</v>
      </c>
      <c r="E476" s="1" t="s">
        <v>822</v>
      </c>
      <c r="F476" s="4">
        <v>2751583</v>
      </c>
      <c r="G476" s="4">
        <v>1210588</v>
      </c>
      <c r="H476" s="2">
        <v>0</v>
      </c>
      <c r="I476" s="5">
        <v>1</v>
      </c>
      <c r="J476" s="5">
        <v>0</v>
      </c>
      <c r="K476" s="11" t="str">
        <f>HYPERLINK("https://www.geoportal.ch/ktsg/map/34?y=2751583&amp;x=1210588&amp;scale=2500&amp;topic=coord&amp;highlight=1&amp;label=Standort|Feuerverbotsplakat","Karte")</f>
        <v>Karte</v>
      </c>
    </row>
    <row r="477" spans="1:11" x14ac:dyDescent="0.2">
      <c r="A477" s="1" t="s">
        <v>424</v>
      </c>
      <c r="B477" s="1" t="s">
        <v>88</v>
      </c>
      <c r="C477" s="1" t="s">
        <v>89</v>
      </c>
      <c r="D477" s="2">
        <v>3085</v>
      </c>
      <c r="E477" s="1" t="s">
        <v>436</v>
      </c>
      <c r="F477" s="4">
        <v>2738705</v>
      </c>
      <c r="G477" s="4">
        <v>1222858</v>
      </c>
      <c r="H477" s="2">
        <v>0</v>
      </c>
      <c r="I477" s="5">
        <v>1</v>
      </c>
      <c r="J477" s="5">
        <v>0</v>
      </c>
      <c r="K477" s="11" t="str">
        <f>HYPERLINK("https://www.geoportal.ch/ktsg/map/34?y=2738705&amp;x=1222858&amp;scale=2500&amp;topic=coord&amp;highlight=1&amp;label=Standort|Feuerverbotsplakat","Karte")</f>
        <v>Karte</v>
      </c>
    </row>
    <row r="478" spans="1:11" x14ac:dyDescent="0.2">
      <c r="A478" s="1" t="s">
        <v>424</v>
      </c>
      <c r="B478" s="1" t="s">
        <v>88</v>
      </c>
      <c r="C478" s="1" t="s">
        <v>89</v>
      </c>
      <c r="D478" s="2">
        <v>3086</v>
      </c>
      <c r="E478" s="1" t="s">
        <v>293</v>
      </c>
      <c r="F478" s="4">
        <v>2740113</v>
      </c>
      <c r="G478" s="4">
        <v>1222842</v>
      </c>
      <c r="H478" s="2">
        <v>0</v>
      </c>
      <c r="I478" s="5">
        <v>1</v>
      </c>
      <c r="J478" s="5">
        <v>0</v>
      </c>
      <c r="K478" s="11" t="str">
        <f>HYPERLINK("https://www.geoportal.ch/ktsg/map/34?y=2740113&amp;x=1222842&amp;scale=2500&amp;topic=coord&amp;highlight=1&amp;label=Standort|Feuerverbotsplakat","Karte")</f>
        <v>Karte</v>
      </c>
    </row>
    <row r="479" spans="1:11" x14ac:dyDescent="0.2">
      <c r="A479" s="1" t="s">
        <v>424</v>
      </c>
      <c r="B479" s="1" t="s">
        <v>88</v>
      </c>
      <c r="C479" s="1" t="s">
        <v>89</v>
      </c>
      <c r="D479" s="2">
        <v>3087</v>
      </c>
      <c r="E479" s="1" t="s">
        <v>437</v>
      </c>
      <c r="F479" s="4">
        <v>2740110</v>
      </c>
      <c r="G479" s="4">
        <v>1222020</v>
      </c>
      <c r="H479" s="2">
        <v>0</v>
      </c>
      <c r="I479" s="5">
        <v>1</v>
      </c>
      <c r="J479" s="5">
        <v>0</v>
      </c>
      <c r="K479" s="11" t="str">
        <f>HYPERLINK("https://www.geoportal.ch/ktsg/map/34?y=2740110&amp;x=1222020&amp;scale=2500&amp;topic=coord&amp;highlight=1&amp;label=Standort|Feuerverbotsplakat","Karte")</f>
        <v>Karte</v>
      </c>
    </row>
    <row r="480" spans="1:11" x14ac:dyDescent="0.2">
      <c r="A480" s="1" t="s">
        <v>424</v>
      </c>
      <c r="B480" s="1" t="s">
        <v>88</v>
      </c>
      <c r="C480" s="1" t="s">
        <v>89</v>
      </c>
      <c r="D480" s="2">
        <v>3088</v>
      </c>
      <c r="E480" s="1" t="s">
        <v>438</v>
      </c>
      <c r="F480" s="4">
        <v>2741675</v>
      </c>
      <c r="G480" s="4">
        <v>1220050</v>
      </c>
      <c r="H480" s="2">
        <v>0</v>
      </c>
      <c r="I480" s="5">
        <v>0</v>
      </c>
      <c r="J480" s="5">
        <v>1</v>
      </c>
      <c r="K480" s="11" t="str">
        <f>HYPERLINK("https://www.geoportal.ch/ktsg/map/34?y=2741675&amp;x=1220050&amp;scale=2500&amp;topic=coord&amp;highlight=1&amp;label=Standort|Feuerverbotsplakat","Karte")</f>
        <v>Karte</v>
      </c>
    </row>
    <row r="481" spans="1:11" x14ac:dyDescent="0.2">
      <c r="A481" s="1" t="s">
        <v>424</v>
      </c>
      <c r="B481" s="1" t="s">
        <v>88</v>
      </c>
      <c r="C481" s="1" t="s">
        <v>89</v>
      </c>
      <c r="D481" s="2">
        <v>3089</v>
      </c>
      <c r="E481" s="1" t="s">
        <v>439</v>
      </c>
      <c r="F481" s="4">
        <v>2741210</v>
      </c>
      <c r="G481" s="4">
        <v>1221470</v>
      </c>
      <c r="H481" s="2">
        <v>0</v>
      </c>
      <c r="I481" s="5">
        <v>0</v>
      </c>
      <c r="J481" s="5">
        <v>1</v>
      </c>
      <c r="K481" s="11" t="str">
        <f>HYPERLINK("https://www.geoportal.ch/ktsg/map/34?y=2741210&amp;x=1221470&amp;scale=2500&amp;topic=coord&amp;highlight=1&amp;label=Standort|Feuerverbotsplakat","Karte")</f>
        <v>Karte</v>
      </c>
    </row>
    <row r="482" spans="1:11" x14ac:dyDescent="0.2">
      <c r="A482" s="1" t="s">
        <v>424</v>
      </c>
      <c r="B482" s="1" t="s">
        <v>88</v>
      </c>
      <c r="C482" s="1" t="s">
        <v>89</v>
      </c>
      <c r="D482" s="2">
        <v>3090</v>
      </c>
      <c r="E482" s="1" t="s">
        <v>440</v>
      </c>
      <c r="F482" s="4">
        <v>2741850</v>
      </c>
      <c r="G482" s="4">
        <v>1221880</v>
      </c>
      <c r="H482" s="2">
        <v>0</v>
      </c>
      <c r="I482" s="5">
        <v>1</v>
      </c>
      <c r="J482" s="5">
        <v>0</v>
      </c>
      <c r="K482" s="11" t="str">
        <f>HYPERLINK("https://www.geoportal.ch/ktsg/map/34?y=2741850&amp;x=1221880&amp;scale=2500&amp;topic=coord&amp;highlight=1&amp;label=Standort|Feuerverbotsplakat","Karte")</f>
        <v>Karte</v>
      </c>
    </row>
    <row r="483" spans="1:11" x14ac:dyDescent="0.2">
      <c r="A483" s="1" t="s">
        <v>424</v>
      </c>
      <c r="B483" s="1" t="s">
        <v>88</v>
      </c>
      <c r="C483" s="1" t="s">
        <v>89</v>
      </c>
      <c r="D483" s="2">
        <v>3091</v>
      </c>
      <c r="E483" s="1" t="s">
        <v>441</v>
      </c>
      <c r="F483" s="4">
        <v>2742480</v>
      </c>
      <c r="G483" s="4">
        <v>1221380</v>
      </c>
      <c r="H483" s="2">
        <v>0</v>
      </c>
      <c r="I483" s="5">
        <v>1</v>
      </c>
      <c r="J483" s="5">
        <v>0</v>
      </c>
      <c r="K483" s="11" t="str">
        <f>HYPERLINK("https://www.geoportal.ch/ktsg/map/34?y=2742480&amp;x=1221380&amp;scale=2500&amp;topic=coord&amp;highlight=1&amp;label=Standort|Feuerverbotsplakat","Karte")</f>
        <v>Karte</v>
      </c>
    </row>
    <row r="484" spans="1:11" x14ac:dyDescent="0.2">
      <c r="A484" s="1" t="s">
        <v>424</v>
      </c>
      <c r="B484" s="1" t="s">
        <v>88</v>
      </c>
      <c r="C484" s="1" t="s">
        <v>89</v>
      </c>
      <c r="D484" s="2">
        <v>3092</v>
      </c>
      <c r="E484" s="1" t="s">
        <v>292</v>
      </c>
      <c r="F484" s="4">
        <v>2742810</v>
      </c>
      <c r="G484" s="4">
        <v>1221290</v>
      </c>
      <c r="H484" s="2">
        <v>0</v>
      </c>
      <c r="I484" s="5">
        <v>1</v>
      </c>
      <c r="J484" s="5">
        <v>0</v>
      </c>
      <c r="K484" s="11" t="str">
        <f>HYPERLINK("https://www.geoportal.ch/ktsg/map/34?y=2742810&amp;x=1221290&amp;scale=2500&amp;topic=coord&amp;highlight=1&amp;label=Standort|Feuerverbotsplakat","Karte")</f>
        <v>Karte</v>
      </c>
    </row>
    <row r="485" spans="1:11" x14ac:dyDescent="0.2">
      <c r="A485" s="1" t="s">
        <v>424</v>
      </c>
      <c r="B485" s="1" t="s">
        <v>88</v>
      </c>
      <c r="C485" s="1" t="s">
        <v>89</v>
      </c>
      <c r="D485" s="2">
        <v>3093</v>
      </c>
      <c r="E485" s="1" t="s">
        <v>442</v>
      </c>
      <c r="F485" s="4">
        <v>2743200</v>
      </c>
      <c r="G485" s="4">
        <v>1221260</v>
      </c>
      <c r="H485" s="2">
        <v>0</v>
      </c>
      <c r="I485" s="5">
        <v>0</v>
      </c>
      <c r="J485" s="5">
        <v>1</v>
      </c>
      <c r="K485" s="11" t="str">
        <f>HYPERLINK("https://www.geoportal.ch/ktsg/map/34?y=2743200&amp;x=1221260&amp;scale=2500&amp;topic=coord&amp;highlight=1&amp;label=Standort|Feuerverbotsplakat","Karte")</f>
        <v>Karte</v>
      </c>
    </row>
    <row r="486" spans="1:11" x14ac:dyDescent="0.2">
      <c r="A486" s="1" t="s">
        <v>424</v>
      </c>
      <c r="B486" s="1" t="s">
        <v>88</v>
      </c>
      <c r="C486" s="1" t="s">
        <v>89</v>
      </c>
      <c r="D486" s="2">
        <v>3094</v>
      </c>
      <c r="E486" s="1" t="s">
        <v>291</v>
      </c>
      <c r="F486" s="4">
        <v>2743810</v>
      </c>
      <c r="G486" s="4">
        <v>1220580</v>
      </c>
      <c r="H486" s="2">
        <v>0</v>
      </c>
      <c r="I486" s="5">
        <v>1</v>
      </c>
      <c r="J486" s="5">
        <v>0</v>
      </c>
      <c r="K486" s="11" t="str">
        <f>HYPERLINK("https://www.geoportal.ch/ktsg/map/34?y=2743810&amp;x=1220580&amp;scale=2500&amp;topic=coord&amp;highlight=1&amp;label=Standort|Feuerverbotsplakat","Karte")</f>
        <v>Karte</v>
      </c>
    </row>
    <row r="487" spans="1:11" x14ac:dyDescent="0.2">
      <c r="A487" s="1" t="s">
        <v>424</v>
      </c>
      <c r="B487" s="1" t="s">
        <v>88</v>
      </c>
      <c r="C487" s="1" t="s">
        <v>89</v>
      </c>
      <c r="D487" s="2">
        <v>3095</v>
      </c>
      <c r="E487" s="1" t="s">
        <v>443</v>
      </c>
      <c r="F487" s="4">
        <v>2744730</v>
      </c>
      <c r="G487" s="4">
        <v>1219660</v>
      </c>
      <c r="H487" s="2">
        <v>0</v>
      </c>
      <c r="I487" s="5">
        <v>1</v>
      </c>
      <c r="J487" s="5">
        <v>0</v>
      </c>
      <c r="K487" s="11" t="str">
        <f>HYPERLINK("https://www.geoportal.ch/ktsg/map/34?y=2744730&amp;x=1219660&amp;scale=2500&amp;topic=coord&amp;highlight=1&amp;label=Standort|Feuerverbotsplakat","Karte")</f>
        <v>Karte</v>
      </c>
    </row>
    <row r="488" spans="1:11" x14ac:dyDescent="0.2">
      <c r="A488" s="1" t="s">
        <v>424</v>
      </c>
      <c r="B488" s="1" t="s">
        <v>88</v>
      </c>
      <c r="C488" s="1" t="s">
        <v>89</v>
      </c>
      <c r="D488" s="2">
        <v>3096</v>
      </c>
      <c r="E488" s="1" t="s">
        <v>290</v>
      </c>
      <c r="F488" s="4">
        <v>2745210</v>
      </c>
      <c r="G488" s="4">
        <v>1219120</v>
      </c>
      <c r="H488" s="2">
        <v>0</v>
      </c>
      <c r="I488" s="5">
        <v>1</v>
      </c>
      <c r="J488" s="5">
        <v>0</v>
      </c>
      <c r="K488" s="11" t="str">
        <f>HYPERLINK("https://www.geoportal.ch/ktsg/map/34?y=2745210&amp;x=1219120&amp;scale=2500&amp;topic=coord&amp;highlight=1&amp;label=Standort|Feuerverbotsplakat","Karte")</f>
        <v>Karte</v>
      </c>
    </row>
    <row r="489" spans="1:11" x14ac:dyDescent="0.2">
      <c r="A489" s="1" t="s">
        <v>424</v>
      </c>
      <c r="B489" s="1" t="s">
        <v>88</v>
      </c>
      <c r="C489" s="1" t="s">
        <v>89</v>
      </c>
      <c r="D489" s="2">
        <v>3097</v>
      </c>
      <c r="E489" s="1" t="s">
        <v>444</v>
      </c>
      <c r="F489" s="4">
        <v>2745690</v>
      </c>
      <c r="G489" s="4">
        <v>1218440</v>
      </c>
      <c r="H489" s="2">
        <v>0</v>
      </c>
      <c r="I489" s="5">
        <v>0</v>
      </c>
      <c r="J489" s="5">
        <v>1</v>
      </c>
      <c r="K489" s="11" t="str">
        <f>HYPERLINK("https://www.geoportal.ch/ktsg/map/34?y=2745690&amp;x=1218440&amp;scale=2500&amp;topic=coord&amp;highlight=1&amp;label=Standort|Feuerverbotsplakat","Karte")</f>
        <v>Karte</v>
      </c>
    </row>
    <row r="490" spans="1:11" x14ac:dyDescent="0.2">
      <c r="A490" s="1" t="s">
        <v>424</v>
      </c>
      <c r="B490" s="1" t="s">
        <v>88</v>
      </c>
      <c r="C490" s="1" t="s">
        <v>89</v>
      </c>
      <c r="D490" s="2">
        <v>3098</v>
      </c>
      <c r="E490" s="1" t="s">
        <v>289</v>
      </c>
      <c r="F490" s="4">
        <v>2743926</v>
      </c>
      <c r="G490" s="4">
        <v>1218572</v>
      </c>
      <c r="H490" s="2">
        <v>0</v>
      </c>
      <c r="I490" s="5">
        <v>1</v>
      </c>
      <c r="J490" s="5">
        <v>0</v>
      </c>
      <c r="K490" s="11" t="str">
        <f>HYPERLINK("https://www.geoportal.ch/ktsg/map/34?y=2743926&amp;x=1218572&amp;scale=2500&amp;topic=coord&amp;highlight=1&amp;label=Standort|Feuerverbotsplakat","Karte")</f>
        <v>Karte</v>
      </c>
    </row>
    <row r="491" spans="1:11" x14ac:dyDescent="0.2">
      <c r="A491" s="1" t="s">
        <v>424</v>
      </c>
      <c r="B491" s="1" t="s">
        <v>88</v>
      </c>
      <c r="C491" s="1" t="s">
        <v>89</v>
      </c>
      <c r="D491" s="2">
        <v>3099</v>
      </c>
      <c r="E491" s="1" t="s">
        <v>288</v>
      </c>
      <c r="F491" s="4">
        <v>2742200</v>
      </c>
      <c r="G491" s="4">
        <v>1219500</v>
      </c>
      <c r="H491" s="2">
        <v>0</v>
      </c>
      <c r="I491" s="5">
        <v>1</v>
      </c>
      <c r="J491" s="5">
        <v>0</v>
      </c>
      <c r="K491" s="11" t="str">
        <f>HYPERLINK("https://www.geoportal.ch/ktsg/map/34?y=2742200&amp;x=1219500&amp;scale=2500&amp;topic=coord&amp;highlight=1&amp;label=Standort|Feuerverbotsplakat","Karte")</f>
        <v>Karte</v>
      </c>
    </row>
    <row r="492" spans="1:11" x14ac:dyDescent="0.2">
      <c r="A492" s="1" t="s">
        <v>424</v>
      </c>
      <c r="B492" s="1" t="s">
        <v>88</v>
      </c>
      <c r="C492" s="1" t="s">
        <v>89</v>
      </c>
      <c r="D492" s="2">
        <v>3100</v>
      </c>
      <c r="E492" s="1" t="s">
        <v>673</v>
      </c>
      <c r="F492" s="4">
        <v>2746700</v>
      </c>
      <c r="G492" s="4">
        <v>1220510</v>
      </c>
      <c r="H492" s="2">
        <v>0</v>
      </c>
      <c r="I492" s="5">
        <v>1</v>
      </c>
      <c r="J492" s="5">
        <v>0</v>
      </c>
      <c r="K492" s="11" t="str">
        <f>HYPERLINK("https://www.geoportal.ch/ktsg/map/34?y=2746700&amp;x=1220510&amp;scale=2500&amp;topic=coord&amp;highlight=1&amp;label=Standort|Feuerverbotsplakat","Karte")</f>
        <v>Karte</v>
      </c>
    </row>
    <row r="493" spans="1:11" x14ac:dyDescent="0.2">
      <c r="A493" s="1" t="s">
        <v>424</v>
      </c>
      <c r="B493" s="1" t="s">
        <v>88</v>
      </c>
      <c r="C493" s="1" t="s">
        <v>89</v>
      </c>
      <c r="D493" s="2">
        <v>3101</v>
      </c>
      <c r="E493" s="1" t="s">
        <v>287</v>
      </c>
      <c r="F493" s="4">
        <v>2746660</v>
      </c>
      <c r="G493" s="4">
        <v>1218070</v>
      </c>
      <c r="H493" s="2">
        <v>0</v>
      </c>
      <c r="I493" s="5">
        <v>1</v>
      </c>
      <c r="J493" s="5">
        <v>0</v>
      </c>
      <c r="K493" s="11" t="str">
        <f>HYPERLINK("https://www.geoportal.ch/ktsg/map/34?y=2746660&amp;x=1218070&amp;scale=2500&amp;topic=coord&amp;highlight=1&amp;label=Standort|Feuerverbotsplakat","Karte")</f>
        <v>Karte</v>
      </c>
    </row>
    <row r="494" spans="1:11" x14ac:dyDescent="0.2">
      <c r="A494" s="1" t="s">
        <v>424</v>
      </c>
      <c r="B494" s="1" t="s">
        <v>88</v>
      </c>
      <c r="C494" s="1" t="s">
        <v>89</v>
      </c>
      <c r="D494" s="2">
        <v>3102</v>
      </c>
      <c r="E494" s="1" t="s">
        <v>529</v>
      </c>
      <c r="F494" s="4">
        <v>2746560</v>
      </c>
      <c r="G494" s="4">
        <v>1218600</v>
      </c>
      <c r="H494" s="2">
        <v>0</v>
      </c>
      <c r="I494" s="5">
        <v>1</v>
      </c>
      <c r="J494" s="5">
        <v>0</v>
      </c>
      <c r="K494" s="11" t="str">
        <f>HYPERLINK("https://www.geoportal.ch/ktsg/map/34?y=2746560&amp;x=1218600&amp;scale=2500&amp;topic=coord&amp;highlight=1&amp;label=Standort|Feuerverbotsplakat","Karte")</f>
        <v>Karte</v>
      </c>
    </row>
    <row r="495" spans="1:11" x14ac:dyDescent="0.2">
      <c r="A495" s="1" t="s">
        <v>421</v>
      </c>
      <c r="B495" s="1" t="s">
        <v>21</v>
      </c>
      <c r="C495" s="1" t="s">
        <v>22</v>
      </c>
      <c r="D495" s="2">
        <v>4001</v>
      </c>
      <c r="E495" s="1" t="s">
        <v>199</v>
      </c>
      <c r="F495" s="4">
        <v>2729170</v>
      </c>
      <c r="G495" s="4">
        <v>1223420</v>
      </c>
      <c r="H495" s="2">
        <v>0</v>
      </c>
      <c r="I495" s="5">
        <v>1</v>
      </c>
      <c r="J495" s="5">
        <v>0</v>
      </c>
      <c r="K495" s="11" t="str">
        <f>HYPERLINK("https://www.geoportal.ch/ktsg/map/34?y=2729170&amp;x=1223420&amp;scale=2500&amp;topic=coord&amp;highlight=1&amp;label=Standort|Feuerverbotsplakat","Karte")</f>
        <v>Karte</v>
      </c>
    </row>
    <row r="496" spans="1:11" x14ac:dyDescent="0.2">
      <c r="A496" s="1" t="s">
        <v>421</v>
      </c>
      <c r="B496" s="1" t="s">
        <v>21</v>
      </c>
      <c r="C496" s="1" t="s">
        <v>22</v>
      </c>
      <c r="D496" s="2">
        <v>4002</v>
      </c>
      <c r="E496" s="1" t="s">
        <v>198</v>
      </c>
      <c r="F496" s="4">
        <v>2729260</v>
      </c>
      <c r="G496" s="4">
        <v>1223420</v>
      </c>
      <c r="H496" s="2">
        <v>0</v>
      </c>
      <c r="I496" s="5">
        <v>1</v>
      </c>
      <c r="J496" s="5">
        <v>0</v>
      </c>
      <c r="K496" s="11" t="str">
        <f>HYPERLINK("https://www.geoportal.ch/ktsg/map/34?y=2729260&amp;x=1223420&amp;scale=2500&amp;topic=coord&amp;highlight=1&amp;label=Standort|Feuerverbotsplakat","Karte")</f>
        <v>Karte</v>
      </c>
    </row>
    <row r="497" spans="1:11" x14ac:dyDescent="0.2">
      <c r="A497" s="1" t="s">
        <v>421</v>
      </c>
      <c r="B497" s="1" t="s">
        <v>21</v>
      </c>
      <c r="C497" s="1" t="s">
        <v>22</v>
      </c>
      <c r="D497" s="2">
        <v>4003</v>
      </c>
      <c r="E497" s="1" t="s">
        <v>197</v>
      </c>
      <c r="F497" s="4">
        <v>2729280</v>
      </c>
      <c r="G497" s="4">
        <v>1223500</v>
      </c>
      <c r="H497" s="2">
        <v>0</v>
      </c>
      <c r="I497" s="5">
        <v>1</v>
      </c>
      <c r="J497" s="5">
        <v>0</v>
      </c>
      <c r="K497" s="11" t="str">
        <f>HYPERLINK("https://www.geoportal.ch/ktsg/map/34?y=2729280&amp;x=1223500&amp;scale=2500&amp;topic=coord&amp;highlight=1&amp;label=Standort|Feuerverbotsplakat","Karte")</f>
        <v>Karte</v>
      </c>
    </row>
    <row r="498" spans="1:11" x14ac:dyDescent="0.2">
      <c r="A498" s="1" t="s">
        <v>421</v>
      </c>
      <c r="B498" s="1" t="s">
        <v>21</v>
      </c>
      <c r="C498" s="1" t="s">
        <v>22</v>
      </c>
      <c r="D498" s="2">
        <v>4004</v>
      </c>
      <c r="E498" s="1" t="s">
        <v>196</v>
      </c>
      <c r="F498" s="4">
        <v>2728880</v>
      </c>
      <c r="G498" s="4">
        <v>1223720</v>
      </c>
      <c r="H498" s="2">
        <v>0</v>
      </c>
      <c r="I498" s="5">
        <v>1</v>
      </c>
      <c r="J498" s="5">
        <v>0</v>
      </c>
      <c r="K498" s="11" t="str">
        <f>HYPERLINK("https://www.geoportal.ch/ktsg/map/34?y=2728880&amp;x=1223720&amp;scale=2500&amp;topic=coord&amp;highlight=1&amp;label=Standort|Feuerverbotsplakat","Karte")</f>
        <v>Karte</v>
      </c>
    </row>
    <row r="499" spans="1:11" x14ac:dyDescent="0.2">
      <c r="A499" s="1" t="s">
        <v>421</v>
      </c>
      <c r="B499" s="1" t="s">
        <v>21</v>
      </c>
      <c r="C499" s="1" t="s">
        <v>22</v>
      </c>
      <c r="D499" s="2">
        <v>4005</v>
      </c>
      <c r="E499" s="1" t="s">
        <v>195</v>
      </c>
      <c r="F499" s="4">
        <v>2727500</v>
      </c>
      <c r="G499" s="4">
        <v>1223040</v>
      </c>
      <c r="H499" s="2">
        <v>0</v>
      </c>
      <c r="I499" s="5">
        <v>1</v>
      </c>
      <c r="J499" s="5">
        <v>0</v>
      </c>
      <c r="K499" s="11" t="str">
        <f>HYPERLINK("https://www.geoportal.ch/ktsg/map/34?y=2727500&amp;x=1223040&amp;scale=2500&amp;topic=coord&amp;highlight=1&amp;label=Standort|Feuerverbotsplakat","Karte")</f>
        <v>Karte</v>
      </c>
    </row>
    <row r="500" spans="1:11" x14ac:dyDescent="0.2">
      <c r="A500" s="1" t="s">
        <v>421</v>
      </c>
      <c r="B500" s="1" t="s">
        <v>21</v>
      </c>
      <c r="C500" s="1" t="s">
        <v>22</v>
      </c>
      <c r="D500" s="2">
        <v>4006</v>
      </c>
      <c r="E500" s="1" t="s">
        <v>823</v>
      </c>
      <c r="F500" s="4">
        <v>2730700</v>
      </c>
      <c r="G500" s="4">
        <v>1226000</v>
      </c>
      <c r="H500" s="2">
        <v>0</v>
      </c>
      <c r="I500" s="5">
        <v>1</v>
      </c>
      <c r="J500" s="5">
        <v>0</v>
      </c>
      <c r="K500" s="11" t="str">
        <f>HYPERLINK("https://www.geoportal.ch/ktsg/map/34?y=2730700&amp;x=1226000&amp;scale=2500&amp;topic=coord&amp;highlight=1&amp;label=Standort|Feuerverbotsplakat","Karte")</f>
        <v>Karte</v>
      </c>
    </row>
    <row r="501" spans="1:11" x14ac:dyDescent="0.2">
      <c r="A501" s="1" t="s">
        <v>421</v>
      </c>
      <c r="B501" s="1" t="s">
        <v>21</v>
      </c>
      <c r="C501" s="1" t="s">
        <v>22</v>
      </c>
      <c r="D501" s="2">
        <v>4007</v>
      </c>
      <c r="E501" s="1" t="s">
        <v>194</v>
      </c>
      <c r="F501" s="4">
        <v>2730060</v>
      </c>
      <c r="G501" s="4">
        <v>1222680</v>
      </c>
      <c r="H501" s="2">
        <v>0</v>
      </c>
      <c r="I501" s="5">
        <v>1</v>
      </c>
      <c r="J501" s="5">
        <v>0</v>
      </c>
      <c r="K501" s="11" t="str">
        <f>HYPERLINK("https://www.geoportal.ch/ktsg/map/34?y=2730060&amp;x=1222680&amp;scale=2500&amp;topic=coord&amp;highlight=1&amp;label=Standort|Feuerverbotsplakat","Karte")</f>
        <v>Karte</v>
      </c>
    </row>
    <row r="502" spans="1:11" x14ac:dyDescent="0.2">
      <c r="A502" s="1" t="s">
        <v>421</v>
      </c>
      <c r="B502" s="1" t="s">
        <v>21</v>
      </c>
      <c r="C502" s="1" t="s">
        <v>22</v>
      </c>
      <c r="D502" s="2">
        <v>4008</v>
      </c>
      <c r="E502" s="1" t="s">
        <v>824</v>
      </c>
      <c r="F502" s="4">
        <v>2731620</v>
      </c>
      <c r="G502" s="4">
        <v>1223255</v>
      </c>
      <c r="H502" s="2">
        <v>0</v>
      </c>
      <c r="I502" s="5">
        <v>1</v>
      </c>
      <c r="J502" s="5">
        <v>0</v>
      </c>
      <c r="K502" s="11" t="str">
        <f>HYPERLINK("https://www.geoportal.ch/ktsg/map/34?y=2731620&amp;x=1223255&amp;scale=2500&amp;topic=coord&amp;highlight=1&amp;label=Standort|Feuerverbotsplakat","Karte")</f>
        <v>Karte</v>
      </c>
    </row>
    <row r="503" spans="1:11" x14ac:dyDescent="0.2">
      <c r="A503" s="1" t="s">
        <v>421</v>
      </c>
      <c r="B503" s="1" t="s">
        <v>21</v>
      </c>
      <c r="C503" s="1" t="s">
        <v>22</v>
      </c>
      <c r="D503" s="2">
        <v>4009</v>
      </c>
      <c r="E503" s="1" t="s">
        <v>825</v>
      </c>
      <c r="F503" s="4">
        <v>2732150</v>
      </c>
      <c r="G503" s="4">
        <v>1223690</v>
      </c>
      <c r="H503" s="2">
        <v>0</v>
      </c>
      <c r="I503" s="5">
        <v>1</v>
      </c>
      <c r="J503" s="5">
        <v>0</v>
      </c>
      <c r="K503" s="11" t="str">
        <f>HYPERLINK("https://www.geoportal.ch/ktsg/map/34?y=2732150&amp;x=1223690&amp;scale=2500&amp;topic=coord&amp;highlight=1&amp;label=Standort|Feuerverbotsplakat","Karte")</f>
        <v>Karte</v>
      </c>
    </row>
    <row r="504" spans="1:11" x14ac:dyDescent="0.2">
      <c r="A504" s="1" t="s">
        <v>421</v>
      </c>
      <c r="B504" s="1" t="s">
        <v>21</v>
      </c>
      <c r="C504" s="1" t="s">
        <v>9</v>
      </c>
      <c r="D504" s="2">
        <v>4010</v>
      </c>
      <c r="E504" s="1" t="s">
        <v>200</v>
      </c>
      <c r="F504" s="4">
        <v>2729140</v>
      </c>
      <c r="G504" s="4">
        <v>1223400</v>
      </c>
      <c r="H504" s="2">
        <v>0</v>
      </c>
      <c r="I504" s="5">
        <v>1</v>
      </c>
      <c r="J504" s="5">
        <v>0</v>
      </c>
      <c r="K504" s="11" t="str">
        <f>HYPERLINK("https://www.geoportal.ch/ktsg/map/34?y=2729140&amp;x=1223400&amp;scale=2500&amp;topic=coord&amp;highlight=1&amp;label=Standort|Feuerverbotsplakat","Karte")</f>
        <v>Karte</v>
      </c>
    </row>
    <row r="505" spans="1:11" x14ac:dyDescent="0.2">
      <c r="A505" s="1" t="s">
        <v>421</v>
      </c>
      <c r="B505" s="1" t="s">
        <v>21</v>
      </c>
      <c r="C505" s="1" t="s">
        <v>9</v>
      </c>
      <c r="D505" s="2">
        <v>4011</v>
      </c>
      <c r="E505" s="1" t="s">
        <v>826</v>
      </c>
      <c r="F505" s="4">
        <v>2726700</v>
      </c>
      <c r="G505" s="4">
        <v>1222100</v>
      </c>
      <c r="H505" s="2">
        <v>0</v>
      </c>
      <c r="I505" s="5">
        <v>1</v>
      </c>
      <c r="J505" s="5">
        <v>0</v>
      </c>
      <c r="K505" s="11" t="str">
        <f>HYPERLINK("https://www.geoportal.ch/ktsg/map/34?y=2726700&amp;x=1222100&amp;scale=2500&amp;topic=coord&amp;highlight=1&amp;label=Standort|Feuerverbotsplakat","Karte")</f>
        <v>Karte</v>
      </c>
    </row>
    <row r="506" spans="1:11" x14ac:dyDescent="0.2">
      <c r="A506" s="1" t="s">
        <v>421</v>
      </c>
      <c r="B506" s="1" t="s">
        <v>21</v>
      </c>
      <c r="C506" s="1" t="s">
        <v>9</v>
      </c>
      <c r="D506" s="2">
        <v>4012</v>
      </c>
      <c r="E506" s="1" t="s">
        <v>193</v>
      </c>
      <c r="F506" s="4">
        <v>2727530</v>
      </c>
      <c r="G506" s="4">
        <v>1222300</v>
      </c>
      <c r="H506" s="2">
        <v>0</v>
      </c>
      <c r="I506" s="5">
        <v>0</v>
      </c>
      <c r="J506" s="5">
        <v>1</v>
      </c>
      <c r="K506" s="11" t="str">
        <f>HYPERLINK("https://www.geoportal.ch/ktsg/map/34?y=2727530&amp;x=1222300&amp;scale=2500&amp;topic=coord&amp;highlight=1&amp;label=Standort|Feuerverbotsplakat","Karte")</f>
        <v>Karte</v>
      </c>
    </row>
    <row r="507" spans="1:11" x14ac:dyDescent="0.2">
      <c r="A507" s="1" t="s">
        <v>421</v>
      </c>
      <c r="B507" s="1" t="s">
        <v>21</v>
      </c>
      <c r="C507" s="1" t="s">
        <v>9</v>
      </c>
      <c r="D507" s="2">
        <v>4013</v>
      </c>
      <c r="E507" s="1" t="s">
        <v>192</v>
      </c>
      <c r="F507" s="4">
        <v>2729450</v>
      </c>
      <c r="G507" s="4">
        <v>1221850</v>
      </c>
      <c r="H507" s="2">
        <v>0</v>
      </c>
      <c r="I507" s="5">
        <v>1</v>
      </c>
      <c r="J507" s="5">
        <v>0</v>
      </c>
      <c r="K507" s="11" t="str">
        <f>HYPERLINK("https://www.geoportal.ch/ktsg/map/34?y=2729450&amp;x=1221850&amp;scale=2500&amp;topic=coord&amp;highlight=1&amp;label=Standort|Feuerverbotsplakat","Karte")</f>
        <v>Karte</v>
      </c>
    </row>
    <row r="508" spans="1:11" x14ac:dyDescent="0.2">
      <c r="A508" s="1" t="s">
        <v>421</v>
      </c>
      <c r="B508" s="1" t="s">
        <v>19</v>
      </c>
      <c r="C508" s="1" t="s">
        <v>15</v>
      </c>
      <c r="D508" s="2">
        <v>4014</v>
      </c>
      <c r="E508" s="1" t="s">
        <v>183</v>
      </c>
      <c r="F508" s="4">
        <v>2719230</v>
      </c>
      <c r="G508" s="4">
        <v>1227211</v>
      </c>
      <c r="H508" s="2">
        <v>0</v>
      </c>
      <c r="I508" s="5">
        <v>1</v>
      </c>
      <c r="J508" s="5">
        <v>0</v>
      </c>
      <c r="K508" s="11" t="str">
        <f>HYPERLINK("https://www.geoportal.ch/ktsg/map/34?y=2719230&amp;x=1227211&amp;scale=2500&amp;topic=coord&amp;highlight=1&amp;label=Standort|Feuerverbotsplakat","Karte")</f>
        <v>Karte</v>
      </c>
    </row>
    <row r="509" spans="1:11" x14ac:dyDescent="0.2">
      <c r="A509" s="1" t="s">
        <v>421</v>
      </c>
      <c r="B509" s="1" t="s">
        <v>19</v>
      </c>
      <c r="C509" s="1" t="s">
        <v>15</v>
      </c>
      <c r="D509" s="2">
        <v>4015</v>
      </c>
      <c r="E509" s="1" t="s">
        <v>829</v>
      </c>
      <c r="F509" s="4">
        <v>2718399</v>
      </c>
      <c r="G509" s="4">
        <v>1226727</v>
      </c>
      <c r="H509" s="2">
        <v>0</v>
      </c>
      <c r="I509" s="5">
        <v>1</v>
      </c>
      <c r="J509" s="5">
        <v>0</v>
      </c>
      <c r="K509" s="11" t="str">
        <f>HYPERLINK("https://www.geoportal.ch/ktsg/map/34?y=2718399&amp;x=1226727&amp;scale=2500&amp;topic=coord&amp;highlight=1&amp;label=Standort|Feuerverbotsplakat","Karte")</f>
        <v>Karte</v>
      </c>
    </row>
    <row r="510" spans="1:11" x14ac:dyDescent="0.2">
      <c r="A510" s="1" t="s">
        <v>421</v>
      </c>
      <c r="B510" s="1" t="s">
        <v>19</v>
      </c>
      <c r="C510" s="1" t="s">
        <v>15</v>
      </c>
      <c r="D510" s="2">
        <v>4016</v>
      </c>
      <c r="E510" s="1" t="s">
        <v>827</v>
      </c>
      <c r="F510" s="4">
        <v>2718680</v>
      </c>
      <c r="G510" s="4">
        <v>1226494</v>
      </c>
      <c r="H510" s="2">
        <v>0</v>
      </c>
      <c r="I510" s="5">
        <v>1</v>
      </c>
      <c r="J510" s="5">
        <v>0</v>
      </c>
      <c r="K510" s="11" t="str">
        <f>HYPERLINK("https://www.geoportal.ch/ktsg/map/34?y=2718680&amp;x=1226494&amp;scale=2500&amp;topic=coord&amp;highlight=1&amp;label=Standort|Feuerverbotsplakat","Karte")</f>
        <v>Karte</v>
      </c>
    </row>
    <row r="511" spans="1:11" x14ac:dyDescent="0.2">
      <c r="A511" s="1" t="s">
        <v>421</v>
      </c>
      <c r="B511" s="1" t="s">
        <v>19</v>
      </c>
      <c r="C511" s="1" t="s">
        <v>15</v>
      </c>
      <c r="D511" s="2">
        <v>4017</v>
      </c>
      <c r="E511" s="1" t="s">
        <v>828</v>
      </c>
      <c r="F511" s="4">
        <v>2718714</v>
      </c>
      <c r="G511" s="4">
        <v>1226427</v>
      </c>
      <c r="H511" s="2">
        <v>0</v>
      </c>
      <c r="I511" s="5">
        <v>1</v>
      </c>
      <c r="J511" s="5">
        <v>0</v>
      </c>
      <c r="K511" s="11" t="str">
        <f>HYPERLINK("https://www.geoportal.ch/ktsg/map/34?y=2718714&amp;x=1226427&amp;scale=2500&amp;topic=coord&amp;highlight=1&amp;label=Standort|Feuerverbotsplakat","Karte")</f>
        <v>Karte</v>
      </c>
    </row>
    <row r="512" spans="1:11" x14ac:dyDescent="0.2">
      <c r="A512" s="1" t="s">
        <v>421</v>
      </c>
      <c r="B512" s="1" t="s">
        <v>19</v>
      </c>
      <c r="C512" s="1" t="s">
        <v>15</v>
      </c>
      <c r="D512" s="2">
        <v>4018</v>
      </c>
      <c r="E512" s="1" t="s">
        <v>675</v>
      </c>
      <c r="F512" s="4">
        <v>2718906</v>
      </c>
      <c r="G512" s="4">
        <v>1226130</v>
      </c>
      <c r="H512" s="2">
        <v>0</v>
      </c>
      <c r="I512" s="5">
        <v>1</v>
      </c>
      <c r="J512" s="5">
        <v>0</v>
      </c>
      <c r="K512" s="11" t="str">
        <f>HYPERLINK("https://www.geoportal.ch/ktsg/map/34?y=2718906&amp;x=1226130&amp;scale=2500&amp;topic=coord&amp;highlight=1&amp;label=Standort|Feuerverbotsplakat","Karte")</f>
        <v>Karte</v>
      </c>
    </row>
    <row r="513" spans="1:11" x14ac:dyDescent="0.2">
      <c r="A513" s="1" t="s">
        <v>421</v>
      </c>
      <c r="B513" s="1" t="s">
        <v>19</v>
      </c>
      <c r="C513" s="1" t="s">
        <v>15</v>
      </c>
      <c r="D513" s="2">
        <v>4019</v>
      </c>
      <c r="E513" s="1" t="s">
        <v>830</v>
      </c>
      <c r="F513" s="4">
        <v>2719167</v>
      </c>
      <c r="G513" s="4">
        <v>1225863</v>
      </c>
      <c r="H513" s="2">
        <v>0</v>
      </c>
      <c r="I513" s="5">
        <v>1</v>
      </c>
      <c r="J513" s="5">
        <v>0</v>
      </c>
      <c r="K513" s="11" t="str">
        <f>HYPERLINK("https://www.geoportal.ch/ktsg/map/34?y=2719167&amp;x=1225863&amp;scale=2500&amp;topic=coord&amp;highlight=1&amp;label=Standort|Feuerverbotsplakat","Karte")</f>
        <v>Karte</v>
      </c>
    </row>
    <row r="514" spans="1:11" x14ac:dyDescent="0.2">
      <c r="A514" s="1" t="s">
        <v>421</v>
      </c>
      <c r="B514" s="1" t="s">
        <v>19</v>
      </c>
      <c r="C514" s="1" t="s">
        <v>15</v>
      </c>
      <c r="D514" s="2">
        <v>4020</v>
      </c>
      <c r="E514" s="1" t="s">
        <v>674</v>
      </c>
      <c r="F514" s="4">
        <v>2719554</v>
      </c>
      <c r="G514" s="4">
        <v>1225933</v>
      </c>
      <c r="H514" s="2">
        <v>0</v>
      </c>
      <c r="I514" s="5">
        <v>1</v>
      </c>
      <c r="J514" s="5">
        <v>0</v>
      </c>
      <c r="K514" s="11" t="str">
        <f>HYPERLINK("https://www.geoportal.ch/ktsg/map/34?y=2719554&amp;x=1225933&amp;scale=2500&amp;topic=coord&amp;highlight=1&amp;label=Standort|Feuerverbotsplakat","Karte")</f>
        <v>Karte</v>
      </c>
    </row>
    <row r="515" spans="1:11" x14ac:dyDescent="0.2">
      <c r="A515" s="1" t="s">
        <v>421</v>
      </c>
      <c r="B515" s="1" t="s">
        <v>19</v>
      </c>
      <c r="C515" s="1" t="s">
        <v>15</v>
      </c>
      <c r="D515" s="2">
        <v>4021</v>
      </c>
      <c r="E515" s="1" t="s">
        <v>831</v>
      </c>
      <c r="F515" s="4">
        <v>2719580</v>
      </c>
      <c r="G515" s="4">
        <v>1225952</v>
      </c>
      <c r="H515" s="2">
        <v>0</v>
      </c>
      <c r="I515" s="5">
        <v>1</v>
      </c>
      <c r="J515" s="5">
        <v>0</v>
      </c>
      <c r="K515" s="11" t="str">
        <f>HYPERLINK("https://www.geoportal.ch/ktsg/map/34?y=2719580&amp;x=1225952&amp;scale=2500&amp;topic=coord&amp;highlight=1&amp;label=Standort|Feuerverbotsplakat","Karte")</f>
        <v>Karte</v>
      </c>
    </row>
    <row r="516" spans="1:11" x14ac:dyDescent="0.2">
      <c r="A516" s="1" t="s">
        <v>421</v>
      </c>
      <c r="B516" s="1" t="s">
        <v>19</v>
      </c>
      <c r="C516" s="1" t="s">
        <v>15</v>
      </c>
      <c r="D516" s="2">
        <v>4022</v>
      </c>
      <c r="E516" s="1" t="s">
        <v>832</v>
      </c>
      <c r="F516" s="4">
        <v>2719570</v>
      </c>
      <c r="G516" s="4">
        <v>1226750</v>
      </c>
      <c r="H516" s="2">
        <v>0</v>
      </c>
      <c r="I516" s="5">
        <v>1</v>
      </c>
      <c r="J516" s="5">
        <v>0</v>
      </c>
      <c r="K516" s="11" t="str">
        <f>HYPERLINK("https://www.geoportal.ch/ktsg/map/34?y=2719570&amp;x=1226750&amp;scale=2500&amp;topic=coord&amp;highlight=1&amp;label=Standort|Feuerverbotsplakat","Karte")</f>
        <v>Karte</v>
      </c>
    </row>
    <row r="517" spans="1:11" x14ac:dyDescent="0.2">
      <c r="A517" s="1" t="s">
        <v>421</v>
      </c>
      <c r="B517" s="1" t="s">
        <v>19</v>
      </c>
      <c r="C517" s="1" t="s">
        <v>9</v>
      </c>
      <c r="D517" s="2">
        <v>4023</v>
      </c>
      <c r="E517" s="1" t="s">
        <v>833</v>
      </c>
      <c r="F517" s="4">
        <v>2718665</v>
      </c>
      <c r="G517" s="4">
        <v>1228669</v>
      </c>
      <c r="H517" s="2">
        <v>0</v>
      </c>
      <c r="I517" s="5">
        <v>1</v>
      </c>
      <c r="J517" s="5">
        <v>0</v>
      </c>
      <c r="K517" s="11" t="str">
        <f>HYPERLINK("https://www.geoportal.ch/ktsg/map/34?y=2718665&amp;x=1228669&amp;scale=2500&amp;topic=coord&amp;highlight=1&amp;label=Standort|Feuerverbotsplakat","Karte")</f>
        <v>Karte</v>
      </c>
    </row>
    <row r="518" spans="1:11" x14ac:dyDescent="0.2">
      <c r="A518" s="1" t="s">
        <v>421</v>
      </c>
      <c r="B518" s="1" t="s">
        <v>19</v>
      </c>
      <c r="C518" s="1" t="s">
        <v>9</v>
      </c>
      <c r="D518" s="2">
        <v>4024</v>
      </c>
      <c r="E518" s="1" t="s">
        <v>184</v>
      </c>
      <c r="F518" s="4">
        <v>2718581</v>
      </c>
      <c r="G518" s="4">
        <v>1228654</v>
      </c>
      <c r="H518" s="2">
        <v>0</v>
      </c>
      <c r="I518" s="5">
        <v>1</v>
      </c>
      <c r="J518" s="5">
        <v>0</v>
      </c>
      <c r="K518" s="11" t="str">
        <f>HYPERLINK("https://www.geoportal.ch/ktsg/map/34?y=2718581&amp;x=1228654&amp;scale=2500&amp;topic=coord&amp;highlight=1&amp;label=Standort|Feuerverbotsplakat","Karte")</f>
        <v>Karte</v>
      </c>
    </row>
    <row r="519" spans="1:11" x14ac:dyDescent="0.2">
      <c r="A519" s="1" t="s">
        <v>421</v>
      </c>
      <c r="B519" s="1" t="s">
        <v>19</v>
      </c>
      <c r="C519" s="1" t="s">
        <v>9</v>
      </c>
      <c r="D519" s="2">
        <v>4025</v>
      </c>
      <c r="E519" s="1" t="s">
        <v>676</v>
      </c>
      <c r="F519" s="4">
        <v>2719280</v>
      </c>
      <c r="G519" s="4">
        <v>1229130</v>
      </c>
      <c r="H519" s="2">
        <v>0</v>
      </c>
      <c r="I519" s="5">
        <v>1</v>
      </c>
      <c r="J519" s="5">
        <v>0</v>
      </c>
      <c r="K519" s="11" t="str">
        <f>HYPERLINK("https://www.geoportal.ch/ktsg/map/34?y=2719280&amp;x=1229130&amp;scale=2500&amp;topic=coord&amp;highlight=1&amp;label=Standort|Feuerverbotsplakat","Karte")</f>
        <v>Karte</v>
      </c>
    </row>
    <row r="520" spans="1:11" x14ac:dyDescent="0.2">
      <c r="A520" s="1" t="s">
        <v>421</v>
      </c>
      <c r="B520" s="1" t="s">
        <v>19</v>
      </c>
      <c r="C520" s="1" t="s">
        <v>9</v>
      </c>
      <c r="D520" s="2">
        <v>4026</v>
      </c>
      <c r="E520" s="1" t="s">
        <v>834</v>
      </c>
      <c r="F520" s="4">
        <v>2719548</v>
      </c>
      <c r="G520" s="4">
        <v>1228538</v>
      </c>
      <c r="H520" s="2">
        <v>0</v>
      </c>
      <c r="I520" s="5">
        <v>1</v>
      </c>
      <c r="J520" s="5">
        <v>0</v>
      </c>
      <c r="K520" s="11" t="str">
        <f>HYPERLINK("https://www.geoportal.ch/ktsg/map/34?y=2719548&amp;x=1228538&amp;scale=2500&amp;topic=coord&amp;highlight=1&amp;label=Standort|Feuerverbotsplakat","Karte")</f>
        <v>Karte</v>
      </c>
    </row>
    <row r="521" spans="1:11" x14ac:dyDescent="0.2">
      <c r="A521" s="1" t="s">
        <v>421</v>
      </c>
      <c r="B521" s="1" t="s">
        <v>19</v>
      </c>
      <c r="C521" s="1" t="s">
        <v>9</v>
      </c>
      <c r="D521" s="2">
        <v>4027</v>
      </c>
      <c r="E521" s="1" t="s">
        <v>835</v>
      </c>
      <c r="F521" s="4">
        <v>2719990</v>
      </c>
      <c r="G521" s="4">
        <v>1227850</v>
      </c>
      <c r="H521" s="2">
        <v>0</v>
      </c>
      <c r="I521" s="5">
        <v>1</v>
      </c>
      <c r="J521" s="5">
        <v>0</v>
      </c>
      <c r="K521" s="11" t="str">
        <f>HYPERLINK("https://www.geoportal.ch/ktsg/map/34?y=2719990&amp;x=1227850&amp;scale=2500&amp;topic=coord&amp;highlight=1&amp;label=Standort|Feuerverbotsplakat","Karte")</f>
        <v>Karte</v>
      </c>
    </row>
    <row r="522" spans="1:11" x14ac:dyDescent="0.2">
      <c r="A522" s="1" t="s">
        <v>421</v>
      </c>
      <c r="B522" s="1" t="s">
        <v>19</v>
      </c>
      <c r="C522" s="1" t="s">
        <v>9</v>
      </c>
      <c r="D522" s="2">
        <v>4028</v>
      </c>
      <c r="E522" s="1" t="s">
        <v>836</v>
      </c>
      <c r="F522" s="4">
        <v>2719894</v>
      </c>
      <c r="G522" s="4">
        <v>1227805</v>
      </c>
      <c r="H522" s="2">
        <v>0</v>
      </c>
      <c r="I522" s="5">
        <v>1</v>
      </c>
      <c r="J522" s="5">
        <v>0</v>
      </c>
      <c r="K522" s="11" t="str">
        <f>HYPERLINK("https://www.geoportal.ch/ktsg/map/34?y=2719894&amp;x=1227805&amp;scale=2500&amp;topic=coord&amp;highlight=1&amp;label=Standort|Feuerverbotsplakat","Karte")</f>
        <v>Karte</v>
      </c>
    </row>
    <row r="523" spans="1:11" x14ac:dyDescent="0.2">
      <c r="A523" s="1" t="s">
        <v>421</v>
      </c>
      <c r="B523" s="1" t="s">
        <v>19</v>
      </c>
      <c r="C523" s="1" t="s">
        <v>9</v>
      </c>
      <c r="D523" s="2">
        <v>4029</v>
      </c>
      <c r="E523" s="1" t="s">
        <v>837</v>
      </c>
      <c r="F523" s="4">
        <v>2720034</v>
      </c>
      <c r="G523" s="4">
        <v>1228040</v>
      </c>
      <c r="H523" s="2">
        <v>0</v>
      </c>
      <c r="I523" s="5">
        <v>1</v>
      </c>
      <c r="J523" s="5">
        <v>0</v>
      </c>
      <c r="K523" s="11" t="str">
        <f>HYPERLINK("https://www.geoportal.ch/ktsg/map/34?y=2720034&amp;x=1228040&amp;scale=2500&amp;topic=coord&amp;highlight=1&amp;label=Standort|Feuerverbotsplakat","Karte")</f>
        <v>Karte</v>
      </c>
    </row>
    <row r="524" spans="1:11" x14ac:dyDescent="0.2">
      <c r="A524" s="1" t="s">
        <v>421</v>
      </c>
      <c r="B524" s="1" t="s">
        <v>19</v>
      </c>
      <c r="C524" s="1" t="s">
        <v>9</v>
      </c>
      <c r="D524" s="2">
        <v>4030</v>
      </c>
      <c r="E524" s="1" t="s">
        <v>838</v>
      </c>
      <c r="F524" s="4">
        <v>2719790</v>
      </c>
      <c r="G524" s="4">
        <v>1227920</v>
      </c>
      <c r="H524" s="2">
        <v>0</v>
      </c>
      <c r="I524" s="5">
        <v>1</v>
      </c>
      <c r="J524" s="5">
        <v>0</v>
      </c>
      <c r="K524" s="11" t="str">
        <f>HYPERLINK("https://www.geoportal.ch/ktsg/map/34?y=2719790&amp;x=1227920&amp;scale=2500&amp;topic=coord&amp;highlight=1&amp;label=Standort|Feuerverbotsplakat","Karte")</f>
        <v>Karte</v>
      </c>
    </row>
    <row r="525" spans="1:11" x14ac:dyDescent="0.2">
      <c r="A525" s="1" t="s">
        <v>421</v>
      </c>
      <c r="B525" s="1" t="s">
        <v>19</v>
      </c>
      <c r="C525" s="1" t="s">
        <v>9</v>
      </c>
      <c r="D525" s="2">
        <v>4031</v>
      </c>
      <c r="E525" s="1" t="s">
        <v>833</v>
      </c>
      <c r="F525" s="4">
        <v>2718636</v>
      </c>
      <c r="G525" s="4">
        <v>1228688</v>
      </c>
      <c r="H525" s="2">
        <v>0</v>
      </c>
      <c r="I525" s="5">
        <v>1</v>
      </c>
      <c r="J525" s="5">
        <v>0</v>
      </c>
      <c r="K525" s="11" t="str">
        <f>HYPERLINK("https://www.geoportal.ch/ktsg/map/34?y=2718636&amp;x=1228688&amp;scale=2500&amp;topic=coord&amp;highlight=1&amp;label=Standort|Feuerverbotsplakat","Karte")</f>
        <v>Karte</v>
      </c>
    </row>
    <row r="526" spans="1:11" x14ac:dyDescent="0.2">
      <c r="A526" s="1" t="s">
        <v>421</v>
      </c>
      <c r="B526" s="1" t="s">
        <v>19</v>
      </c>
      <c r="C526" s="1" t="s">
        <v>9</v>
      </c>
      <c r="D526" s="2">
        <v>4032</v>
      </c>
      <c r="E526" s="1" t="s">
        <v>530</v>
      </c>
      <c r="F526" s="4">
        <v>2718620</v>
      </c>
      <c r="G526" s="4">
        <v>1228663</v>
      </c>
      <c r="H526" s="2">
        <v>0</v>
      </c>
      <c r="I526" s="5">
        <v>1</v>
      </c>
      <c r="J526" s="5">
        <v>0</v>
      </c>
      <c r="K526" s="11" t="str">
        <f>HYPERLINK("https://www.geoportal.ch/ktsg/map/34?y=2718620&amp;x=1228663&amp;scale=2500&amp;topic=coord&amp;highlight=1&amp;label=Standort|Feuerverbotsplakat","Karte")</f>
        <v>Karte</v>
      </c>
    </row>
    <row r="527" spans="1:11" x14ac:dyDescent="0.2">
      <c r="A527" s="1" t="s">
        <v>421</v>
      </c>
      <c r="B527" s="1" t="s">
        <v>19</v>
      </c>
      <c r="C527" s="1" t="s">
        <v>9</v>
      </c>
      <c r="D527" s="2">
        <v>4033</v>
      </c>
      <c r="E527" s="1" t="s">
        <v>901</v>
      </c>
      <c r="F527" s="4">
        <v>2718800</v>
      </c>
      <c r="G527" s="4">
        <v>1229130</v>
      </c>
      <c r="H527" s="2">
        <v>0</v>
      </c>
      <c r="I527" s="5">
        <v>0</v>
      </c>
      <c r="J527" s="5">
        <v>1</v>
      </c>
      <c r="K527" s="11" t="str">
        <f>HYPERLINK("https://www.geoportal.ch/ktsg/map/34?y=2718800&amp;x=1229130&amp;scale=2500&amp;topic=coord&amp;highlight=1&amp;label=Standort|Feuerverbotsplakat","Karte")</f>
        <v>Karte</v>
      </c>
    </row>
    <row r="528" spans="1:11" x14ac:dyDescent="0.2">
      <c r="A528" s="1" t="s">
        <v>421</v>
      </c>
      <c r="B528" s="1" t="s">
        <v>1</v>
      </c>
      <c r="C528" s="1" t="s">
        <v>2</v>
      </c>
      <c r="D528" s="2">
        <v>4034</v>
      </c>
      <c r="E528" s="1" t="s">
        <v>840</v>
      </c>
      <c r="F528" s="4">
        <v>2717040</v>
      </c>
      <c r="G528" s="4">
        <v>1232731</v>
      </c>
      <c r="H528" s="2">
        <v>0</v>
      </c>
      <c r="I528" s="5">
        <v>1</v>
      </c>
      <c r="J528" s="5">
        <v>0</v>
      </c>
      <c r="K528" s="11" t="str">
        <f>HYPERLINK("https://www.geoportal.ch/ktsg/map/34?y=2717040&amp;x=1232731&amp;scale=2500&amp;topic=coord&amp;highlight=1&amp;label=Standort|Feuerverbotsplakat","Karte")</f>
        <v>Karte</v>
      </c>
    </row>
    <row r="529" spans="1:11" x14ac:dyDescent="0.2">
      <c r="A529" s="1" t="s">
        <v>421</v>
      </c>
      <c r="B529" s="1" t="s">
        <v>1</v>
      </c>
      <c r="C529" s="1" t="s">
        <v>2</v>
      </c>
      <c r="D529" s="2">
        <v>4035</v>
      </c>
      <c r="E529" s="1" t="s">
        <v>839</v>
      </c>
      <c r="F529" s="4">
        <v>2717088</v>
      </c>
      <c r="G529" s="4">
        <v>1233015</v>
      </c>
      <c r="H529" s="2">
        <v>0</v>
      </c>
      <c r="I529" s="5">
        <v>1</v>
      </c>
      <c r="J529" s="5">
        <v>0</v>
      </c>
      <c r="K529" s="11" t="str">
        <f>HYPERLINK("https://www.geoportal.ch/ktsg/map/34?y=2717088&amp;x=1233015&amp;scale=2500&amp;topic=coord&amp;highlight=1&amp;label=Standort|Feuerverbotsplakat","Karte")</f>
        <v>Karte</v>
      </c>
    </row>
    <row r="530" spans="1:11" x14ac:dyDescent="0.2">
      <c r="A530" s="1" t="s">
        <v>421</v>
      </c>
      <c r="B530" s="1" t="s">
        <v>1</v>
      </c>
      <c r="C530" s="1" t="s">
        <v>2</v>
      </c>
      <c r="D530" s="2">
        <v>4036</v>
      </c>
      <c r="E530" s="1" t="s">
        <v>116</v>
      </c>
      <c r="F530" s="4">
        <v>2720910</v>
      </c>
      <c r="G530" s="4">
        <v>1235060</v>
      </c>
      <c r="H530" s="2">
        <v>0</v>
      </c>
      <c r="I530" s="5">
        <v>1</v>
      </c>
      <c r="J530" s="5">
        <v>0</v>
      </c>
      <c r="K530" s="11" t="str">
        <f>HYPERLINK("https://www.geoportal.ch/ktsg/map/34?y=2720910&amp;x=1235060&amp;scale=2500&amp;topic=coord&amp;highlight=1&amp;label=Standort|Feuerverbotsplakat","Karte")</f>
        <v>Karte</v>
      </c>
    </row>
    <row r="531" spans="1:11" x14ac:dyDescent="0.2">
      <c r="A531" s="1" t="s">
        <v>421</v>
      </c>
      <c r="B531" s="1" t="s">
        <v>1</v>
      </c>
      <c r="C531" s="1" t="s">
        <v>2</v>
      </c>
      <c r="D531" s="2">
        <v>4037</v>
      </c>
      <c r="E531" s="1" t="s">
        <v>115</v>
      </c>
      <c r="F531" s="4">
        <v>2720580</v>
      </c>
      <c r="G531" s="4">
        <v>1235650</v>
      </c>
      <c r="H531" s="2">
        <v>0</v>
      </c>
      <c r="I531" s="5">
        <v>1</v>
      </c>
      <c r="J531" s="5">
        <v>0</v>
      </c>
      <c r="K531" s="11" t="str">
        <f>HYPERLINK("https://www.geoportal.ch/ktsg/map/34?y=2720580&amp;x=1235650&amp;scale=2500&amp;topic=coord&amp;highlight=1&amp;label=Standort|Feuerverbotsplakat","Karte")</f>
        <v>Karte</v>
      </c>
    </row>
    <row r="532" spans="1:11" x14ac:dyDescent="0.2">
      <c r="A532" s="1" t="s">
        <v>421</v>
      </c>
      <c r="B532" s="1" t="s">
        <v>538</v>
      </c>
      <c r="C532" s="1" t="s">
        <v>2</v>
      </c>
      <c r="D532" s="2">
        <v>4038</v>
      </c>
      <c r="E532" s="1" t="s">
        <v>539</v>
      </c>
      <c r="F532" s="4">
        <v>2712197</v>
      </c>
      <c r="G532" s="4">
        <v>1232220</v>
      </c>
      <c r="H532" s="2">
        <v>0</v>
      </c>
      <c r="I532" s="5">
        <v>1</v>
      </c>
      <c r="J532" s="5">
        <v>0</v>
      </c>
      <c r="K532" s="11" t="str">
        <f>HYPERLINK("https://www.geoportal.ch/ktsg/map/34?y=2712197&amp;x=1232220&amp;scale=2500&amp;topic=coord&amp;highlight=1&amp;label=Standort|Feuerverbotsplakat","Karte")</f>
        <v>Karte</v>
      </c>
    </row>
    <row r="533" spans="1:11" x14ac:dyDescent="0.2">
      <c r="A533" s="1" t="s">
        <v>421</v>
      </c>
      <c r="B533" s="1" t="s">
        <v>538</v>
      </c>
      <c r="C533" s="1" t="s">
        <v>2</v>
      </c>
      <c r="D533" s="2">
        <v>4039</v>
      </c>
      <c r="E533" s="1" t="s">
        <v>540</v>
      </c>
      <c r="F533" s="4">
        <v>2708962</v>
      </c>
      <c r="G533" s="4">
        <v>1234384</v>
      </c>
      <c r="H533" s="2">
        <v>0</v>
      </c>
      <c r="I533" s="5">
        <v>1</v>
      </c>
      <c r="J533" s="5">
        <v>0</v>
      </c>
      <c r="K533" s="11" t="str">
        <f>HYPERLINK("https://www.geoportal.ch/ktsg/map/34?y=2708962&amp;x=1234384&amp;scale=2500&amp;topic=coord&amp;highlight=1&amp;label=Standort|Feuerverbotsplakat","Karte")</f>
        <v>Karte</v>
      </c>
    </row>
    <row r="534" spans="1:11" x14ac:dyDescent="0.2">
      <c r="A534" s="1" t="s">
        <v>421</v>
      </c>
      <c r="B534" s="1" t="s">
        <v>538</v>
      </c>
      <c r="C534" s="1" t="s">
        <v>2</v>
      </c>
      <c r="D534" s="2">
        <v>4040</v>
      </c>
      <c r="E534" s="1" t="s">
        <v>677</v>
      </c>
      <c r="F534" s="4">
        <v>2712972</v>
      </c>
      <c r="G534" s="4">
        <v>1235188</v>
      </c>
      <c r="H534" s="2">
        <v>0</v>
      </c>
      <c r="I534" s="5">
        <v>1</v>
      </c>
      <c r="J534" s="5">
        <v>0</v>
      </c>
      <c r="K534" s="11" t="str">
        <f>HYPERLINK("https://www.geoportal.ch/ktsg/map/34?y=2712972&amp;x=1235188&amp;scale=2500&amp;topic=coord&amp;highlight=1&amp;label=Standort|Feuerverbotsplakat","Karte")</f>
        <v>Karte</v>
      </c>
    </row>
    <row r="535" spans="1:11" x14ac:dyDescent="0.2">
      <c r="A535" s="1" t="s">
        <v>421</v>
      </c>
      <c r="B535" s="1" t="s">
        <v>5</v>
      </c>
      <c r="C535" s="1" t="s">
        <v>427</v>
      </c>
      <c r="D535" s="2">
        <v>4041</v>
      </c>
      <c r="E535" s="1" t="s">
        <v>164</v>
      </c>
      <c r="F535" s="4">
        <v>2708778</v>
      </c>
      <c r="G535" s="4">
        <v>1233572</v>
      </c>
      <c r="H535" s="2">
        <v>0</v>
      </c>
      <c r="I535" s="5">
        <v>1</v>
      </c>
      <c r="J535" s="5">
        <v>0</v>
      </c>
      <c r="K535" s="11" t="str">
        <f>HYPERLINK("https://www.geoportal.ch/ktsg/map/34?y=2708778&amp;x=1233572&amp;scale=2500&amp;topic=coord&amp;highlight=1&amp;label=Standort|Feuerverbotsplakat","Karte")</f>
        <v>Karte</v>
      </c>
    </row>
    <row r="536" spans="1:11" x14ac:dyDescent="0.2">
      <c r="A536" s="1" t="s">
        <v>421</v>
      </c>
      <c r="B536" s="1" t="s">
        <v>5</v>
      </c>
      <c r="C536" s="1" t="s">
        <v>427</v>
      </c>
      <c r="D536" s="2">
        <v>4042</v>
      </c>
      <c r="E536" s="1" t="s">
        <v>163</v>
      </c>
      <c r="F536" s="4">
        <v>2708665</v>
      </c>
      <c r="G536" s="4">
        <v>1233715</v>
      </c>
      <c r="H536" s="2">
        <v>0</v>
      </c>
      <c r="I536" s="5">
        <v>1</v>
      </c>
      <c r="J536" s="5">
        <v>0</v>
      </c>
      <c r="K536" s="11" t="str">
        <f>HYPERLINK("https://www.geoportal.ch/ktsg/map/34?y=2708665&amp;x=1233715&amp;scale=2500&amp;topic=coord&amp;highlight=1&amp;label=Standort|Feuerverbotsplakat","Karte")</f>
        <v>Karte</v>
      </c>
    </row>
    <row r="537" spans="1:11" x14ac:dyDescent="0.2">
      <c r="A537" s="1" t="s">
        <v>421</v>
      </c>
      <c r="B537" s="1" t="s">
        <v>5</v>
      </c>
      <c r="C537" s="1" t="s">
        <v>427</v>
      </c>
      <c r="D537" s="2">
        <v>4043</v>
      </c>
      <c r="E537" s="1" t="s">
        <v>162</v>
      </c>
      <c r="F537" s="4">
        <v>2709321</v>
      </c>
      <c r="G537" s="4">
        <v>1234424</v>
      </c>
      <c r="H537" s="2">
        <v>0</v>
      </c>
      <c r="I537" s="5">
        <v>1</v>
      </c>
      <c r="J537" s="5">
        <v>0</v>
      </c>
      <c r="K537" s="11" t="str">
        <f>HYPERLINK("https://www.geoportal.ch/ktsg/map/34?y=2709321&amp;x=1234424&amp;scale=2500&amp;topic=coord&amp;highlight=1&amp;label=Standort|Feuerverbotsplakat","Karte")</f>
        <v>Karte</v>
      </c>
    </row>
    <row r="538" spans="1:11" x14ac:dyDescent="0.2">
      <c r="A538" s="1" t="s">
        <v>421</v>
      </c>
      <c r="B538" s="1" t="s">
        <v>5</v>
      </c>
      <c r="C538" s="1" t="s">
        <v>427</v>
      </c>
      <c r="D538" s="2">
        <v>4044</v>
      </c>
      <c r="E538" s="1" t="s">
        <v>161</v>
      </c>
      <c r="F538" s="4">
        <v>2709059</v>
      </c>
      <c r="G538" s="4">
        <v>1234313</v>
      </c>
      <c r="H538" s="2">
        <v>0</v>
      </c>
      <c r="I538" s="5">
        <v>1</v>
      </c>
      <c r="J538" s="5">
        <v>0</v>
      </c>
      <c r="K538" s="11" t="str">
        <f>HYPERLINK("https://www.geoportal.ch/ktsg/map/34?y=2709059&amp;x=1234313&amp;scale=2500&amp;topic=coord&amp;highlight=1&amp;label=Standort|Feuerverbotsplakat","Karte")</f>
        <v>Karte</v>
      </c>
    </row>
    <row r="539" spans="1:11" x14ac:dyDescent="0.2">
      <c r="A539" s="1" t="s">
        <v>421</v>
      </c>
      <c r="B539" s="1" t="s">
        <v>5</v>
      </c>
      <c r="C539" s="1" t="s">
        <v>427</v>
      </c>
      <c r="D539" s="2">
        <v>4045</v>
      </c>
      <c r="E539" s="1" t="s">
        <v>160</v>
      </c>
      <c r="F539" s="4">
        <v>2710217</v>
      </c>
      <c r="G539" s="4">
        <v>1234473</v>
      </c>
      <c r="H539" s="2">
        <v>0</v>
      </c>
      <c r="I539" s="5">
        <v>1</v>
      </c>
      <c r="J539" s="5">
        <v>0</v>
      </c>
      <c r="K539" s="11" t="str">
        <f>HYPERLINK("https://www.geoportal.ch/ktsg/map/34?y=2710217&amp;x=1234473&amp;scale=2500&amp;topic=coord&amp;highlight=1&amp;label=Standort|Feuerverbotsplakat","Karte")</f>
        <v>Karte</v>
      </c>
    </row>
    <row r="540" spans="1:11" x14ac:dyDescent="0.2">
      <c r="A540" s="1" t="s">
        <v>421</v>
      </c>
      <c r="B540" s="1" t="s">
        <v>5</v>
      </c>
      <c r="C540" s="1" t="s">
        <v>2</v>
      </c>
      <c r="D540" s="2">
        <v>4046</v>
      </c>
      <c r="E540" s="1" t="s">
        <v>128</v>
      </c>
      <c r="F540" s="4">
        <v>2709070</v>
      </c>
      <c r="G540" s="4">
        <v>1234320</v>
      </c>
      <c r="H540" s="2">
        <v>0</v>
      </c>
      <c r="I540" s="5">
        <v>1</v>
      </c>
      <c r="J540" s="5">
        <v>0</v>
      </c>
      <c r="K540" s="11" t="str">
        <f>HYPERLINK("https://www.geoportal.ch/ktsg/map/34?y=2709070&amp;x=1234320&amp;scale=2500&amp;topic=coord&amp;highlight=1&amp;label=Standort|Feuerverbotsplakat","Karte")</f>
        <v>Karte</v>
      </c>
    </row>
    <row r="541" spans="1:11" x14ac:dyDescent="0.2">
      <c r="A541" s="1" t="s">
        <v>421</v>
      </c>
      <c r="B541" s="1" t="s">
        <v>5</v>
      </c>
      <c r="C541" s="1" t="s">
        <v>2</v>
      </c>
      <c r="D541" s="2">
        <v>4047</v>
      </c>
      <c r="E541" s="1" t="s">
        <v>127</v>
      </c>
      <c r="F541" s="4">
        <v>2710707</v>
      </c>
      <c r="G541" s="4">
        <v>1233470</v>
      </c>
      <c r="H541" s="2">
        <v>0</v>
      </c>
      <c r="I541" s="5">
        <v>1</v>
      </c>
      <c r="J541" s="5">
        <v>0</v>
      </c>
      <c r="K541" s="11" t="str">
        <f>HYPERLINK("https://www.geoportal.ch/ktsg/map/34?y=2710707&amp;x=1233470&amp;scale=2500&amp;topic=coord&amp;highlight=1&amp;label=Standort|Feuerverbotsplakat","Karte")</f>
        <v>Karte</v>
      </c>
    </row>
    <row r="542" spans="1:11" x14ac:dyDescent="0.2">
      <c r="A542" s="1" t="s">
        <v>421</v>
      </c>
      <c r="B542" s="1" t="s">
        <v>5</v>
      </c>
      <c r="C542" s="1" t="s">
        <v>2</v>
      </c>
      <c r="D542" s="2">
        <v>4048</v>
      </c>
      <c r="E542" s="1" t="s">
        <v>126</v>
      </c>
      <c r="F542" s="4">
        <v>2711505</v>
      </c>
      <c r="G542" s="4">
        <v>1233780</v>
      </c>
      <c r="H542" s="2">
        <v>0</v>
      </c>
      <c r="I542" s="5">
        <v>1</v>
      </c>
      <c r="J542" s="5">
        <v>0</v>
      </c>
      <c r="K542" s="11" t="str">
        <f>HYPERLINK("https://www.geoportal.ch/ktsg/map/34?y=2711505&amp;x=1233780&amp;scale=2500&amp;topic=coord&amp;highlight=1&amp;label=Standort|Feuerverbotsplakat","Karte")</f>
        <v>Karte</v>
      </c>
    </row>
    <row r="543" spans="1:11" x14ac:dyDescent="0.2">
      <c r="A543" s="1" t="s">
        <v>421</v>
      </c>
      <c r="B543" s="1" t="s">
        <v>5</v>
      </c>
      <c r="C543" s="1" t="s">
        <v>2</v>
      </c>
      <c r="D543" s="2">
        <v>4049</v>
      </c>
      <c r="E543" s="1" t="s">
        <v>125</v>
      </c>
      <c r="F543" s="4">
        <v>2711815</v>
      </c>
      <c r="G543" s="4">
        <v>1233915</v>
      </c>
      <c r="H543" s="2">
        <v>0</v>
      </c>
      <c r="I543" s="5">
        <v>1</v>
      </c>
      <c r="J543" s="5">
        <v>0</v>
      </c>
      <c r="K543" s="11" t="str">
        <f>HYPERLINK("https://www.geoportal.ch/ktsg/map/34?y=2711815&amp;x=1233915&amp;scale=2500&amp;topic=coord&amp;highlight=1&amp;label=Standort|Feuerverbotsplakat","Karte")</f>
        <v>Karte</v>
      </c>
    </row>
    <row r="544" spans="1:11" x14ac:dyDescent="0.2">
      <c r="A544" s="1" t="s">
        <v>421</v>
      </c>
      <c r="B544" s="1" t="s">
        <v>5</v>
      </c>
      <c r="C544" s="1" t="s">
        <v>2</v>
      </c>
      <c r="D544" s="2">
        <v>4050</v>
      </c>
      <c r="E544" s="1" t="s">
        <v>124</v>
      </c>
      <c r="F544" s="4">
        <v>2713805</v>
      </c>
      <c r="G544" s="4">
        <v>1234870</v>
      </c>
      <c r="H544" s="2">
        <v>0</v>
      </c>
      <c r="I544" s="5">
        <v>1</v>
      </c>
      <c r="J544" s="5">
        <v>0</v>
      </c>
      <c r="K544" s="11" t="str">
        <f>HYPERLINK("https://www.geoportal.ch/ktsg/map/34?y=2713805&amp;x=1234870&amp;scale=2500&amp;topic=coord&amp;highlight=1&amp;label=Standort|Feuerverbotsplakat","Karte")</f>
        <v>Karte</v>
      </c>
    </row>
    <row r="545" spans="1:11" x14ac:dyDescent="0.2">
      <c r="A545" s="1" t="s">
        <v>421</v>
      </c>
      <c r="B545" s="1" t="s">
        <v>5</v>
      </c>
      <c r="C545" s="1" t="s">
        <v>2</v>
      </c>
      <c r="D545" s="2">
        <v>4051</v>
      </c>
      <c r="E545" s="1" t="s">
        <v>123</v>
      </c>
      <c r="F545" s="4">
        <v>2712805</v>
      </c>
      <c r="G545" s="4">
        <v>1232540</v>
      </c>
      <c r="H545" s="2">
        <v>0</v>
      </c>
      <c r="I545" s="5">
        <v>1</v>
      </c>
      <c r="J545" s="5">
        <v>0</v>
      </c>
      <c r="K545" s="11" t="str">
        <f>HYPERLINK("https://www.geoportal.ch/ktsg/map/34?y=2712805&amp;x=1232540&amp;scale=2500&amp;topic=coord&amp;highlight=1&amp;label=Standort|Feuerverbotsplakat","Karte")</f>
        <v>Karte</v>
      </c>
    </row>
    <row r="546" spans="1:11" x14ac:dyDescent="0.2">
      <c r="A546" s="1" t="s">
        <v>421</v>
      </c>
      <c r="B546" s="1" t="s">
        <v>5</v>
      </c>
      <c r="C546" s="1" t="s">
        <v>2</v>
      </c>
      <c r="D546" s="2">
        <v>4052</v>
      </c>
      <c r="E546" s="1" t="s">
        <v>539</v>
      </c>
      <c r="F546" s="4">
        <v>2712197</v>
      </c>
      <c r="G546" s="4">
        <v>1232220</v>
      </c>
      <c r="H546" s="2">
        <v>0</v>
      </c>
      <c r="I546" s="5">
        <v>1</v>
      </c>
      <c r="J546" s="5">
        <v>0</v>
      </c>
      <c r="K546" s="11" t="str">
        <f>HYPERLINK("https://www.geoportal.ch/ktsg/map/34?y=2712197&amp;x=1232220&amp;scale=2500&amp;topic=coord&amp;highlight=1&amp;label=Standort|Feuerverbotsplakat","Karte")</f>
        <v>Karte</v>
      </c>
    </row>
    <row r="547" spans="1:11" x14ac:dyDescent="0.2">
      <c r="A547" s="1" t="s">
        <v>421</v>
      </c>
      <c r="B547" s="1" t="s">
        <v>5</v>
      </c>
      <c r="C547" s="1" t="s">
        <v>2</v>
      </c>
      <c r="D547" s="2">
        <v>4053</v>
      </c>
      <c r="E547" s="1" t="s">
        <v>540</v>
      </c>
      <c r="F547" s="4">
        <v>2708962</v>
      </c>
      <c r="G547" s="4">
        <v>1234384</v>
      </c>
      <c r="H547" s="2">
        <v>0</v>
      </c>
      <c r="I547" s="5">
        <v>1</v>
      </c>
      <c r="J547" s="5">
        <v>0</v>
      </c>
      <c r="K547" s="11" t="str">
        <f>HYPERLINK("https://www.geoportal.ch/ktsg/map/34?y=2708962&amp;x=1234384&amp;scale=2500&amp;topic=coord&amp;highlight=1&amp;label=Standort|Feuerverbotsplakat","Karte")</f>
        <v>Karte</v>
      </c>
    </row>
    <row r="548" spans="1:11" x14ac:dyDescent="0.2">
      <c r="A548" s="1" t="s">
        <v>421</v>
      </c>
      <c r="B548" s="1" t="s">
        <v>5</v>
      </c>
      <c r="C548" s="1" t="s">
        <v>2</v>
      </c>
      <c r="D548" s="2">
        <v>4054</v>
      </c>
      <c r="E548" s="1" t="s">
        <v>677</v>
      </c>
      <c r="F548" s="4">
        <v>2712972</v>
      </c>
      <c r="G548" s="4">
        <v>1235188</v>
      </c>
      <c r="H548" s="2">
        <v>0</v>
      </c>
      <c r="I548" s="5">
        <v>1</v>
      </c>
      <c r="J548" s="5">
        <v>0</v>
      </c>
      <c r="K548" s="11" t="str">
        <f>HYPERLINK("https://www.geoportal.ch/ktsg/map/34?y=2712972&amp;x=1235188&amp;scale=2500&amp;topic=coord&amp;highlight=1&amp;label=Standort|Feuerverbotsplakat","Karte")</f>
        <v>Karte</v>
      </c>
    </row>
    <row r="549" spans="1:11" x14ac:dyDescent="0.2">
      <c r="A549" s="1" t="s">
        <v>421</v>
      </c>
      <c r="B549" s="1" t="s">
        <v>5</v>
      </c>
      <c r="C549" s="1" t="s">
        <v>9</v>
      </c>
      <c r="D549" s="2">
        <v>4055</v>
      </c>
      <c r="E549" s="1" t="s">
        <v>678</v>
      </c>
      <c r="F549" s="4">
        <v>2713315</v>
      </c>
      <c r="G549" s="4">
        <v>1235455</v>
      </c>
      <c r="H549" s="2">
        <v>0</v>
      </c>
      <c r="I549" s="5">
        <v>1</v>
      </c>
      <c r="J549" s="5">
        <v>0</v>
      </c>
      <c r="K549" s="11" t="str">
        <f>HYPERLINK("https://www.geoportal.ch/ktsg/map/34?y=2713315&amp;x=1235455&amp;scale=2500&amp;topic=coord&amp;highlight=1&amp;label=Standort|Feuerverbotsplakat","Karte")</f>
        <v>Karte</v>
      </c>
    </row>
    <row r="550" spans="1:11" x14ac:dyDescent="0.2">
      <c r="A550" s="1" t="s">
        <v>421</v>
      </c>
      <c r="B550" s="1" t="s">
        <v>8</v>
      </c>
      <c r="C550" s="1" t="s">
        <v>9</v>
      </c>
      <c r="D550" s="2">
        <v>4056</v>
      </c>
      <c r="E550" s="1" t="s">
        <v>679</v>
      </c>
      <c r="F550" s="4">
        <v>2717040</v>
      </c>
      <c r="G550" s="4">
        <v>1238750</v>
      </c>
      <c r="H550" s="2">
        <v>0</v>
      </c>
      <c r="I550" s="5">
        <v>1</v>
      </c>
      <c r="J550" s="5">
        <v>0</v>
      </c>
      <c r="K550" s="11" t="str">
        <f>HYPERLINK("https://www.geoportal.ch/ktsg/map/34?y=2717040&amp;x=1238750&amp;scale=2500&amp;topic=coord&amp;highlight=1&amp;label=Standort|Feuerverbotsplakat","Karte")</f>
        <v>Karte</v>
      </c>
    </row>
    <row r="551" spans="1:11" x14ac:dyDescent="0.2">
      <c r="A551" s="1" t="s">
        <v>421</v>
      </c>
      <c r="B551" s="1" t="s">
        <v>8</v>
      </c>
      <c r="C551" s="1" t="s">
        <v>9</v>
      </c>
      <c r="D551" s="2">
        <v>4057</v>
      </c>
      <c r="E551" s="1" t="s">
        <v>841</v>
      </c>
      <c r="F551" s="4">
        <v>2717550</v>
      </c>
      <c r="G551" s="4">
        <v>1239750</v>
      </c>
      <c r="H551" s="2">
        <v>0</v>
      </c>
      <c r="I551" s="5">
        <v>1</v>
      </c>
      <c r="J551" s="5">
        <v>0</v>
      </c>
      <c r="K551" s="11" t="str">
        <f>HYPERLINK("https://www.geoportal.ch/ktsg/map/34?y=2717550&amp;x=1239750&amp;scale=2500&amp;topic=coord&amp;highlight=1&amp;label=Standort|Feuerverbotsplakat","Karte")</f>
        <v>Karte</v>
      </c>
    </row>
    <row r="552" spans="1:11" x14ac:dyDescent="0.2">
      <c r="A552" s="1" t="s">
        <v>421</v>
      </c>
      <c r="B552" s="1" t="s">
        <v>8</v>
      </c>
      <c r="C552" s="1" t="s">
        <v>9</v>
      </c>
      <c r="D552" s="2">
        <v>4058</v>
      </c>
      <c r="E552" s="1" t="s">
        <v>680</v>
      </c>
      <c r="F552" s="4">
        <v>2717530</v>
      </c>
      <c r="G552" s="4">
        <v>1238285</v>
      </c>
      <c r="H552" s="2">
        <v>0</v>
      </c>
      <c r="I552" s="5">
        <v>1</v>
      </c>
      <c r="J552" s="5">
        <v>0</v>
      </c>
      <c r="K552" s="11" t="str">
        <f>HYPERLINK("https://www.geoportal.ch/ktsg/map/34?y=2717530&amp;x=1238285&amp;scale=2500&amp;topic=coord&amp;highlight=1&amp;label=Standort|Feuerverbotsplakat","Karte")</f>
        <v>Karte</v>
      </c>
    </row>
    <row r="553" spans="1:11" x14ac:dyDescent="0.2">
      <c r="A553" s="1" t="s">
        <v>421</v>
      </c>
      <c r="B553" s="1" t="s">
        <v>8</v>
      </c>
      <c r="C553" s="1" t="s">
        <v>9</v>
      </c>
      <c r="D553" s="2">
        <v>4059</v>
      </c>
      <c r="E553" s="1" t="s">
        <v>681</v>
      </c>
      <c r="F553" s="4">
        <v>2716125</v>
      </c>
      <c r="G553" s="4">
        <v>1237205</v>
      </c>
      <c r="H553" s="2">
        <v>0</v>
      </c>
      <c r="I553" s="5">
        <v>1</v>
      </c>
      <c r="J553" s="5">
        <v>0</v>
      </c>
      <c r="K553" s="11" t="str">
        <f>HYPERLINK("https://www.geoportal.ch/ktsg/map/34?y=2716125&amp;x=1237205&amp;scale=2500&amp;topic=coord&amp;highlight=1&amp;label=Standort|Feuerverbotsplakat","Karte")</f>
        <v>Karte</v>
      </c>
    </row>
    <row r="554" spans="1:11" x14ac:dyDescent="0.2">
      <c r="A554" s="1" t="s">
        <v>421</v>
      </c>
      <c r="B554" s="1" t="s">
        <v>8</v>
      </c>
      <c r="C554" s="1" t="s">
        <v>9</v>
      </c>
      <c r="D554" s="2">
        <v>4060</v>
      </c>
      <c r="E554" s="1" t="s">
        <v>239</v>
      </c>
      <c r="F554" s="4">
        <v>2714445</v>
      </c>
      <c r="G554" s="4">
        <v>1239510</v>
      </c>
      <c r="H554" s="2">
        <v>0</v>
      </c>
      <c r="I554" s="5">
        <v>1</v>
      </c>
      <c r="J554" s="5">
        <v>0</v>
      </c>
      <c r="K554" s="11" t="str">
        <f>HYPERLINK("https://www.geoportal.ch/ktsg/map/34?y=2714445&amp;x=1239510&amp;scale=2500&amp;topic=coord&amp;highlight=1&amp;label=Standort|Feuerverbotsplakat","Karte")</f>
        <v>Karte</v>
      </c>
    </row>
    <row r="555" spans="1:11" x14ac:dyDescent="0.2">
      <c r="A555" s="1" t="s">
        <v>421</v>
      </c>
      <c r="B555" s="1" t="s">
        <v>8</v>
      </c>
      <c r="C555" s="1" t="s">
        <v>9</v>
      </c>
      <c r="D555" s="2">
        <v>4061</v>
      </c>
      <c r="E555" s="1" t="s">
        <v>531</v>
      </c>
      <c r="F555" s="4">
        <v>2713790</v>
      </c>
      <c r="G555" s="4">
        <v>1238920</v>
      </c>
      <c r="H555" s="2">
        <v>0</v>
      </c>
      <c r="I555" s="5">
        <v>1</v>
      </c>
      <c r="J555" s="5">
        <v>0</v>
      </c>
      <c r="K555" s="11" t="str">
        <f>HYPERLINK("https://www.geoportal.ch/ktsg/map/34?y=2713790&amp;x=1238920&amp;scale=2500&amp;topic=coord&amp;highlight=1&amp;label=Standort|Feuerverbotsplakat","Karte")</f>
        <v>Karte</v>
      </c>
    </row>
    <row r="556" spans="1:11" x14ac:dyDescent="0.2">
      <c r="A556" s="1" t="s">
        <v>421</v>
      </c>
      <c r="B556" s="1" t="s">
        <v>8</v>
      </c>
      <c r="C556" s="1" t="s">
        <v>9</v>
      </c>
      <c r="D556" s="2">
        <v>4062</v>
      </c>
      <c r="E556" s="1" t="s">
        <v>842</v>
      </c>
      <c r="F556" s="4">
        <v>2714220</v>
      </c>
      <c r="G556" s="4">
        <v>1237885</v>
      </c>
      <c r="H556" s="2">
        <v>0</v>
      </c>
      <c r="I556" s="5">
        <v>1</v>
      </c>
      <c r="J556" s="5">
        <v>0</v>
      </c>
      <c r="K556" s="11" t="str">
        <f>HYPERLINK("https://www.geoportal.ch/ktsg/map/34?y=2714220&amp;x=1237885&amp;scale=2500&amp;topic=coord&amp;highlight=1&amp;label=Standort|Feuerverbotsplakat","Karte")</f>
        <v>Karte</v>
      </c>
    </row>
    <row r="557" spans="1:11" x14ac:dyDescent="0.2">
      <c r="A557" s="1" t="s">
        <v>421</v>
      </c>
      <c r="B557" s="1" t="s">
        <v>8</v>
      </c>
      <c r="C557" s="1" t="s">
        <v>9</v>
      </c>
      <c r="D557" s="2">
        <v>4063</v>
      </c>
      <c r="E557" s="1" t="s">
        <v>532</v>
      </c>
      <c r="F557" s="4">
        <v>2715190</v>
      </c>
      <c r="G557" s="4">
        <v>1236045</v>
      </c>
      <c r="H557" s="2">
        <v>0</v>
      </c>
      <c r="I557" s="5">
        <v>1</v>
      </c>
      <c r="J557" s="5">
        <v>0</v>
      </c>
      <c r="K557" s="11" t="str">
        <f>HYPERLINK("https://www.geoportal.ch/ktsg/map/34?y=2715190&amp;x=1236045&amp;scale=2500&amp;topic=coord&amp;highlight=1&amp;label=Standort|Feuerverbotsplakat","Karte")</f>
        <v>Karte</v>
      </c>
    </row>
    <row r="558" spans="1:11" x14ac:dyDescent="0.2">
      <c r="A558" s="1" t="s">
        <v>421</v>
      </c>
      <c r="B558" s="1" t="s">
        <v>8</v>
      </c>
      <c r="C558" s="1" t="s">
        <v>9</v>
      </c>
      <c r="D558" s="2">
        <v>4064</v>
      </c>
      <c r="E558" s="1" t="s">
        <v>533</v>
      </c>
      <c r="F558" s="4">
        <v>2713690</v>
      </c>
      <c r="G558" s="4">
        <v>1236090</v>
      </c>
      <c r="H558" s="2">
        <v>0</v>
      </c>
      <c r="I558" s="5">
        <v>1</v>
      </c>
      <c r="J558" s="5">
        <v>0</v>
      </c>
      <c r="K558" s="11" t="str">
        <f>HYPERLINK("https://www.geoportal.ch/ktsg/map/34?y=2713690&amp;x=1236090&amp;scale=2500&amp;topic=coord&amp;highlight=1&amp;label=Standort|Feuerverbotsplakat","Karte")</f>
        <v>Karte</v>
      </c>
    </row>
    <row r="559" spans="1:11" x14ac:dyDescent="0.2">
      <c r="A559" s="1" t="s">
        <v>421</v>
      </c>
      <c r="B559" s="1" t="s">
        <v>8</v>
      </c>
      <c r="C559" s="1" t="s">
        <v>9</v>
      </c>
      <c r="D559" s="2">
        <v>4065</v>
      </c>
      <c r="E559" s="1" t="s">
        <v>534</v>
      </c>
      <c r="F559" s="4">
        <v>2715120</v>
      </c>
      <c r="G559" s="4">
        <v>1234655</v>
      </c>
      <c r="H559" s="2">
        <v>0</v>
      </c>
      <c r="I559" s="5">
        <v>1</v>
      </c>
      <c r="J559" s="5">
        <v>0</v>
      </c>
      <c r="K559" s="11" t="str">
        <f>HYPERLINK("https://www.geoportal.ch/ktsg/map/34?y=2715120&amp;x=1234655&amp;scale=2500&amp;topic=coord&amp;highlight=1&amp;label=Standort|Feuerverbotsplakat","Karte")</f>
        <v>Karte</v>
      </c>
    </row>
    <row r="560" spans="1:11" x14ac:dyDescent="0.2">
      <c r="A560" s="1" t="s">
        <v>421</v>
      </c>
      <c r="B560" s="1" t="s">
        <v>8</v>
      </c>
      <c r="C560" s="1" t="s">
        <v>9</v>
      </c>
      <c r="D560" s="2">
        <v>4066</v>
      </c>
      <c r="E560" s="1" t="s">
        <v>843</v>
      </c>
      <c r="F560" s="4">
        <v>2715420</v>
      </c>
      <c r="G560" s="4">
        <v>1235590</v>
      </c>
      <c r="H560" s="2">
        <v>0</v>
      </c>
      <c r="I560" s="5">
        <v>1</v>
      </c>
      <c r="J560" s="5">
        <v>0</v>
      </c>
      <c r="K560" s="11" t="str">
        <f>HYPERLINK("https://www.geoportal.ch/ktsg/map/34?y=2715420&amp;x=1235590&amp;scale=2500&amp;topic=coord&amp;highlight=1&amp;label=Standort|Feuerverbotsplakat","Karte")</f>
        <v>Karte</v>
      </c>
    </row>
    <row r="561" spans="1:11" x14ac:dyDescent="0.2">
      <c r="A561" s="1" t="s">
        <v>421</v>
      </c>
      <c r="B561" s="1" t="s">
        <v>10</v>
      </c>
      <c r="C561" s="1" t="s">
        <v>11</v>
      </c>
      <c r="D561" s="2">
        <v>4067</v>
      </c>
      <c r="E561" s="1" t="s">
        <v>131</v>
      </c>
      <c r="F561" s="4">
        <v>2721190</v>
      </c>
      <c r="G561" s="4">
        <v>1234970</v>
      </c>
      <c r="H561" s="2">
        <v>0</v>
      </c>
      <c r="I561" s="5">
        <v>1</v>
      </c>
      <c r="J561" s="5">
        <v>0</v>
      </c>
      <c r="K561" s="11" t="str">
        <f>HYPERLINK("https://www.geoportal.ch/ktsg/map/34?y=2721190&amp;x=1234970&amp;scale=2500&amp;topic=coord&amp;highlight=1&amp;label=Standort|Feuerverbotsplakat","Karte")</f>
        <v>Karte</v>
      </c>
    </row>
    <row r="562" spans="1:11" x14ac:dyDescent="0.2">
      <c r="A562" s="1" t="s">
        <v>421</v>
      </c>
      <c r="B562" s="1" t="s">
        <v>10</v>
      </c>
      <c r="C562" s="1" t="s">
        <v>11</v>
      </c>
      <c r="D562" s="2">
        <v>4068</v>
      </c>
      <c r="E562" s="1" t="s">
        <v>682</v>
      </c>
      <c r="F562" s="4">
        <v>2721415</v>
      </c>
      <c r="G562" s="4">
        <v>1235055</v>
      </c>
      <c r="H562" s="2">
        <v>0</v>
      </c>
      <c r="I562" s="5">
        <v>1</v>
      </c>
      <c r="J562" s="5">
        <v>0</v>
      </c>
      <c r="K562" s="11" t="str">
        <f>HYPERLINK("https://www.geoportal.ch/ktsg/map/34?y=2721415&amp;x=1235055&amp;scale=2500&amp;topic=coord&amp;highlight=1&amp;label=Standort|Feuerverbotsplakat","Karte")</f>
        <v>Karte</v>
      </c>
    </row>
    <row r="563" spans="1:11" x14ac:dyDescent="0.2">
      <c r="A563" s="1" t="s">
        <v>421</v>
      </c>
      <c r="B563" s="1" t="s">
        <v>10</v>
      </c>
      <c r="C563" s="1" t="s">
        <v>11</v>
      </c>
      <c r="D563" s="2">
        <v>4069</v>
      </c>
      <c r="E563" s="1" t="s">
        <v>844</v>
      </c>
      <c r="F563" s="4">
        <v>2722434</v>
      </c>
      <c r="G563" s="4">
        <v>1234377</v>
      </c>
      <c r="H563" s="2">
        <v>0</v>
      </c>
      <c r="I563" s="5">
        <v>1</v>
      </c>
      <c r="J563" s="5">
        <v>0</v>
      </c>
      <c r="K563" s="11" t="str">
        <f>HYPERLINK("https://www.geoportal.ch/ktsg/map/34?y=2722434&amp;x=1234377&amp;scale=2500&amp;topic=coord&amp;highlight=1&amp;label=Standort|Feuerverbotsplakat","Karte")</f>
        <v>Karte</v>
      </c>
    </row>
    <row r="564" spans="1:11" x14ac:dyDescent="0.2">
      <c r="A564" s="1" t="s">
        <v>421</v>
      </c>
      <c r="B564" s="1" t="s">
        <v>10</v>
      </c>
      <c r="C564" s="1" t="s">
        <v>11</v>
      </c>
      <c r="D564" s="2">
        <v>4070</v>
      </c>
      <c r="E564" s="1" t="s">
        <v>846</v>
      </c>
      <c r="F564" s="4">
        <v>2722934</v>
      </c>
      <c r="G564" s="4">
        <v>1233923</v>
      </c>
      <c r="H564" s="2">
        <v>0</v>
      </c>
      <c r="I564" s="5">
        <v>1</v>
      </c>
      <c r="J564" s="5">
        <v>0</v>
      </c>
      <c r="K564" s="11" t="str">
        <f>HYPERLINK("https://www.geoportal.ch/ktsg/map/34?y=2722934&amp;x=1233923&amp;scale=2500&amp;topic=coord&amp;highlight=1&amp;label=Standort|Feuerverbotsplakat","Karte")</f>
        <v>Karte</v>
      </c>
    </row>
    <row r="565" spans="1:11" x14ac:dyDescent="0.2">
      <c r="A565" s="1" t="s">
        <v>421</v>
      </c>
      <c r="B565" s="1" t="s">
        <v>10</v>
      </c>
      <c r="C565" s="1" t="s">
        <v>11</v>
      </c>
      <c r="D565" s="2">
        <v>4071</v>
      </c>
      <c r="E565" s="1" t="s">
        <v>845</v>
      </c>
      <c r="F565" s="4">
        <v>2724020</v>
      </c>
      <c r="G565" s="4">
        <v>1233570</v>
      </c>
      <c r="H565" s="2">
        <v>0</v>
      </c>
      <c r="I565" s="5">
        <v>1</v>
      </c>
      <c r="J565" s="5">
        <v>0</v>
      </c>
      <c r="K565" s="11" t="str">
        <f>HYPERLINK("https://www.geoportal.ch/ktsg/map/34?y=2724020&amp;x=1233570&amp;scale=2500&amp;topic=coord&amp;highlight=1&amp;label=Standort|Feuerverbotsplakat","Karte")</f>
        <v>Karte</v>
      </c>
    </row>
    <row r="566" spans="1:11" x14ac:dyDescent="0.2">
      <c r="A566" s="1" t="s">
        <v>421</v>
      </c>
      <c r="B566" s="1" t="s">
        <v>14</v>
      </c>
      <c r="C566" s="1" t="s">
        <v>16</v>
      </c>
      <c r="D566" s="2">
        <v>4072</v>
      </c>
      <c r="E566" s="1" t="s">
        <v>925</v>
      </c>
      <c r="F566" s="4">
        <v>2723727</v>
      </c>
      <c r="G566" s="4">
        <v>1230625</v>
      </c>
      <c r="H566" s="2">
        <v>0</v>
      </c>
      <c r="I566" s="5">
        <v>0</v>
      </c>
      <c r="J566" s="5">
        <v>1</v>
      </c>
      <c r="K566" s="11" t="str">
        <f>HYPERLINK("https://www.geoportal.ch/ktsg/map/34?y=2723727&amp;x=1230625&amp;scale=2500&amp;topic=coord&amp;highlight=1&amp;label=Standort|Feuerverbotsplakat","Karte")</f>
        <v>Karte</v>
      </c>
    </row>
    <row r="567" spans="1:11" x14ac:dyDescent="0.2">
      <c r="A567" s="1" t="s">
        <v>421</v>
      </c>
      <c r="B567" s="1" t="s">
        <v>14</v>
      </c>
      <c r="C567" s="1" t="s">
        <v>16</v>
      </c>
      <c r="D567" s="2">
        <v>4073</v>
      </c>
      <c r="E567" s="1" t="s">
        <v>683</v>
      </c>
      <c r="F567" s="4">
        <v>2719930</v>
      </c>
      <c r="G567" s="4">
        <v>1229300</v>
      </c>
      <c r="H567" s="2">
        <v>0</v>
      </c>
      <c r="I567" s="5">
        <v>0</v>
      </c>
      <c r="J567" s="5">
        <v>1</v>
      </c>
      <c r="K567" s="11" t="str">
        <f>HYPERLINK("https://www.geoportal.ch/ktsg/map/34?y=2719930&amp;x=1229300&amp;scale=2500&amp;topic=coord&amp;highlight=1&amp;label=Standort|Feuerverbotsplakat","Karte")</f>
        <v>Karte</v>
      </c>
    </row>
    <row r="568" spans="1:11" x14ac:dyDescent="0.2">
      <c r="A568" s="1" t="s">
        <v>421</v>
      </c>
      <c r="B568" s="1" t="s">
        <v>14</v>
      </c>
      <c r="C568" s="1" t="s">
        <v>16</v>
      </c>
      <c r="D568" s="2">
        <v>4074</v>
      </c>
      <c r="E568" s="1" t="s">
        <v>847</v>
      </c>
      <c r="F568" s="4">
        <v>2719960</v>
      </c>
      <c r="G568" s="4">
        <v>1229290</v>
      </c>
      <c r="H568" s="2">
        <v>0</v>
      </c>
      <c r="I568" s="5">
        <v>1</v>
      </c>
      <c r="J568" s="5">
        <v>0</v>
      </c>
      <c r="K568" s="11" t="str">
        <f>HYPERLINK("https://www.geoportal.ch/ktsg/map/34?y=2719960&amp;x=1229290&amp;scale=2500&amp;topic=coord&amp;highlight=1&amp;label=Standort|Feuerverbotsplakat","Karte")</f>
        <v>Karte</v>
      </c>
    </row>
    <row r="569" spans="1:11" x14ac:dyDescent="0.2">
      <c r="A569" s="1" t="s">
        <v>421</v>
      </c>
      <c r="B569" s="1" t="s">
        <v>14</v>
      </c>
      <c r="C569" s="1" t="s">
        <v>16</v>
      </c>
      <c r="D569" s="2">
        <v>4075</v>
      </c>
      <c r="E569" s="1" t="s">
        <v>848</v>
      </c>
      <c r="F569" s="4">
        <v>2720010</v>
      </c>
      <c r="G569" s="4">
        <v>1229320</v>
      </c>
      <c r="H569" s="2">
        <v>0</v>
      </c>
      <c r="I569" s="5">
        <v>0</v>
      </c>
      <c r="J569" s="5">
        <v>1</v>
      </c>
      <c r="K569" s="11" t="str">
        <f>HYPERLINK("https://www.geoportal.ch/ktsg/map/34?y=2720010&amp;x=1229320&amp;scale=2500&amp;topic=coord&amp;highlight=1&amp;label=Standort|Feuerverbotsplakat","Karte")</f>
        <v>Karte</v>
      </c>
    </row>
    <row r="570" spans="1:11" x14ac:dyDescent="0.2">
      <c r="A570" s="1" t="s">
        <v>421</v>
      </c>
      <c r="B570" s="1" t="s">
        <v>13</v>
      </c>
      <c r="C570" s="1" t="s">
        <v>427</v>
      </c>
      <c r="D570" s="2">
        <v>4076</v>
      </c>
      <c r="E570" s="1" t="s">
        <v>180</v>
      </c>
      <c r="F570" s="4">
        <v>2705865</v>
      </c>
      <c r="G570" s="4">
        <v>1232965</v>
      </c>
      <c r="H570" s="2">
        <v>0</v>
      </c>
      <c r="I570" s="5">
        <v>1</v>
      </c>
      <c r="J570" s="5">
        <v>0</v>
      </c>
      <c r="K570" s="11" t="str">
        <f>HYPERLINK("https://www.geoportal.ch/ktsg/map/34?y=2705865&amp;x=1232965&amp;scale=2500&amp;topic=coord&amp;highlight=1&amp;label=Standort|Feuerverbotsplakat","Karte")</f>
        <v>Karte</v>
      </c>
    </row>
    <row r="571" spans="1:11" x14ac:dyDescent="0.2">
      <c r="A571" s="1" t="s">
        <v>421</v>
      </c>
      <c r="B571" s="1" t="s">
        <v>13</v>
      </c>
      <c r="C571" s="1" t="s">
        <v>427</v>
      </c>
      <c r="D571" s="2">
        <v>4077</v>
      </c>
      <c r="E571" s="1" t="s">
        <v>179</v>
      </c>
      <c r="F571" s="4">
        <v>2706377</v>
      </c>
      <c r="G571" s="4">
        <v>1233185</v>
      </c>
      <c r="H571" s="2">
        <v>0</v>
      </c>
      <c r="I571" s="5">
        <v>1</v>
      </c>
      <c r="J571" s="5">
        <v>0</v>
      </c>
      <c r="K571" s="11" t="str">
        <f>HYPERLINK("https://www.geoportal.ch/ktsg/map/34?y=2706377&amp;x=1233185&amp;scale=2500&amp;topic=coord&amp;highlight=1&amp;label=Standort|Feuerverbotsplakat","Karte")</f>
        <v>Karte</v>
      </c>
    </row>
    <row r="572" spans="1:11" x14ac:dyDescent="0.2">
      <c r="A572" s="1" t="s">
        <v>421</v>
      </c>
      <c r="B572" s="1" t="s">
        <v>13</v>
      </c>
      <c r="C572" s="1" t="s">
        <v>427</v>
      </c>
      <c r="D572" s="2">
        <v>4078</v>
      </c>
      <c r="E572" s="1" t="s">
        <v>178</v>
      </c>
      <c r="F572" s="4">
        <v>2706472</v>
      </c>
      <c r="G572" s="4">
        <v>1233211</v>
      </c>
      <c r="H572" s="2">
        <v>0</v>
      </c>
      <c r="I572" s="5">
        <v>1</v>
      </c>
      <c r="J572" s="5">
        <v>0</v>
      </c>
      <c r="K572" s="11" t="str">
        <f>HYPERLINK("https://www.geoportal.ch/ktsg/map/34?y=2706472&amp;x=1233211&amp;scale=2500&amp;topic=coord&amp;highlight=1&amp;label=Standort|Feuerverbotsplakat","Karte")</f>
        <v>Karte</v>
      </c>
    </row>
    <row r="573" spans="1:11" x14ac:dyDescent="0.2">
      <c r="A573" s="1" t="s">
        <v>421</v>
      </c>
      <c r="B573" s="1" t="s">
        <v>13</v>
      </c>
      <c r="C573" s="1" t="s">
        <v>427</v>
      </c>
      <c r="D573" s="2">
        <v>4079</v>
      </c>
      <c r="E573" s="1" t="s">
        <v>177</v>
      </c>
      <c r="F573" s="4">
        <v>2706840</v>
      </c>
      <c r="G573" s="4">
        <v>1233349</v>
      </c>
      <c r="H573" s="2">
        <v>0</v>
      </c>
      <c r="I573" s="5">
        <v>1</v>
      </c>
      <c r="J573" s="5">
        <v>0</v>
      </c>
      <c r="K573" s="11" t="str">
        <f>HYPERLINK("https://www.geoportal.ch/ktsg/map/34?y=2706840&amp;x=1233349&amp;scale=2500&amp;topic=coord&amp;highlight=1&amp;label=Standort|Feuerverbotsplakat","Karte")</f>
        <v>Karte</v>
      </c>
    </row>
    <row r="574" spans="1:11" x14ac:dyDescent="0.2">
      <c r="A574" s="1" t="s">
        <v>421</v>
      </c>
      <c r="B574" s="1" t="s">
        <v>13</v>
      </c>
      <c r="C574" s="1" t="s">
        <v>427</v>
      </c>
      <c r="D574" s="2">
        <v>4080</v>
      </c>
      <c r="E574" s="1" t="s">
        <v>176</v>
      </c>
      <c r="F574" s="4">
        <v>2706553</v>
      </c>
      <c r="G574" s="4">
        <v>1233425</v>
      </c>
      <c r="H574" s="2">
        <v>0</v>
      </c>
      <c r="I574" s="5">
        <v>1</v>
      </c>
      <c r="J574" s="5">
        <v>0</v>
      </c>
      <c r="K574" s="11" t="str">
        <f>HYPERLINK("https://www.geoportal.ch/ktsg/map/34?y=2706553&amp;x=1233425&amp;scale=2500&amp;topic=coord&amp;highlight=1&amp;label=Standort|Feuerverbotsplakat","Karte")</f>
        <v>Karte</v>
      </c>
    </row>
    <row r="575" spans="1:11" x14ac:dyDescent="0.2">
      <c r="A575" s="1" t="s">
        <v>421</v>
      </c>
      <c r="B575" s="1" t="s">
        <v>13</v>
      </c>
      <c r="C575" s="1" t="s">
        <v>427</v>
      </c>
      <c r="D575" s="2">
        <v>4081</v>
      </c>
      <c r="E575" s="1" t="s">
        <v>175</v>
      </c>
      <c r="F575" s="4">
        <v>2705465</v>
      </c>
      <c r="G575" s="4">
        <v>1233433</v>
      </c>
      <c r="H575" s="2">
        <v>0</v>
      </c>
      <c r="I575" s="5">
        <v>1</v>
      </c>
      <c r="J575" s="5">
        <v>0</v>
      </c>
      <c r="K575" s="11" t="str">
        <f>HYPERLINK("https://www.geoportal.ch/ktsg/map/34?y=2705465&amp;x=1233433&amp;scale=2500&amp;topic=coord&amp;highlight=1&amp;label=Standort|Feuerverbotsplakat","Karte")</f>
        <v>Karte</v>
      </c>
    </row>
    <row r="576" spans="1:11" x14ac:dyDescent="0.2">
      <c r="A576" s="1" t="s">
        <v>421</v>
      </c>
      <c r="B576" s="1" t="s">
        <v>13</v>
      </c>
      <c r="C576" s="1" t="s">
        <v>427</v>
      </c>
      <c r="D576" s="2">
        <v>4082</v>
      </c>
      <c r="E576" s="1" t="s">
        <v>174</v>
      </c>
      <c r="F576" s="4">
        <v>2705512</v>
      </c>
      <c r="G576" s="4">
        <v>1233656</v>
      </c>
      <c r="H576" s="2">
        <v>0</v>
      </c>
      <c r="I576" s="5">
        <v>1</v>
      </c>
      <c r="J576" s="5">
        <v>0</v>
      </c>
      <c r="K576" s="11" t="str">
        <f>HYPERLINK("https://www.geoportal.ch/ktsg/map/34?y=2705512&amp;x=1233656&amp;scale=2500&amp;topic=coord&amp;highlight=1&amp;label=Standort|Feuerverbotsplakat","Karte")</f>
        <v>Karte</v>
      </c>
    </row>
    <row r="577" spans="1:11" x14ac:dyDescent="0.2">
      <c r="A577" s="1" t="s">
        <v>421</v>
      </c>
      <c r="B577" s="1" t="s">
        <v>13</v>
      </c>
      <c r="C577" s="1" t="s">
        <v>427</v>
      </c>
      <c r="D577" s="2">
        <v>4083</v>
      </c>
      <c r="E577" s="1" t="s">
        <v>173</v>
      </c>
      <c r="F577" s="4">
        <v>2706041</v>
      </c>
      <c r="G577" s="4">
        <v>1233782</v>
      </c>
      <c r="H577" s="2">
        <v>0</v>
      </c>
      <c r="I577" s="5">
        <v>1</v>
      </c>
      <c r="J577" s="5">
        <v>0</v>
      </c>
      <c r="K577" s="11" t="str">
        <f>HYPERLINK("https://www.geoportal.ch/ktsg/map/34?y=2706041&amp;x=1233782&amp;scale=2500&amp;topic=coord&amp;highlight=1&amp;label=Standort|Feuerverbotsplakat","Karte")</f>
        <v>Karte</v>
      </c>
    </row>
    <row r="578" spans="1:11" x14ac:dyDescent="0.2">
      <c r="A578" s="1" t="s">
        <v>421</v>
      </c>
      <c r="B578" s="1" t="s">
        <v>13</v>
      </c>
      <c r="C578" s="1" t="s">
        <v>427</v>
      </c>
      <c r="D578" s="2">
        <v>4084</v>
      </c>
      <c r="E578" s="1" t="s">
        <v>172</v>
      </c>
      <c r="F578" s="4">
        <v>2706738</v>
      </c>
      <c r="G578" s="4">
        <v>1233986</v>
      </c>
      <c r="H578" s="2">
        <v>0</v>
      </c>
      <c r="I578" s="5">
        <v>1</v>
      </c>
      <c r="J578" s="5">
        <v>0</v>
      </c>
      <c r="K578" s="11" t="str">
        <f>HYPERLINK("https://www.geoportal.ch/ktsg/map/34?y=2706738&amp;x=1233986&amp;scale=2500&amp;topic=coord&amp;highlight=1&amp;label=Standort|Feuerverbotsplakat","Karte")</f>
        <v>Karte</v>
      </c>
    </row>
    <row r="579" spans="1:11" x14ac:dyDescent="0.2">
      <c r="A579" s="1" t="s">
        <v>421</v>
      </c>
      <c r="B579" s="1" t="s">
        <v>13</v>
      </c>
      <c r="C579" s="1" t="s">
        <v>427</v>
      </c>
      <c r="D579" s="2">
        <v>4085</v>
      </c>
      <c r="E579" s="1" t="s">
        <v>171</v>
      </c>
      <c r="F579" s="4">
        <v>2707048</v>
      </c>
      <c r="G579" s="4">
        <v>1233995</v>
      </c>
      <c r="H579" s="2">
        <v>0</v>
      </c>
      <c r="I579" s="5">
        <v>1</v>
      </c>
      <c r="J579" s="5">
        <v>0</v>
      </c>
      <c r="K579" s="11" t="str">
        <f>HYPERLINK("https://www.geoportal.ch/ktsg/map/34?y=2707048&amp;x=1233995&amp;scale=2500&amp;topic=coord&amp;highlight=1&amp;label=Standort|Feuerverbotsplakat","Karte")</f>
        <v>Karte</v>
      </c>
    </row>
    <row r="580" spans="1:11" x14ac:dyDescent="0.2">
      <c r="A580" s="1" t="s">
        <v>421</v>
      </c>
      <c r="B580" s="1" t="s">
        <v>13</v>
      </c>
      <c r="C580" s="1" t="s">
        <v>427</v>
      </c>
      <c r="D580" s="2">
        <v>4086</v>
      </c>
      <c r="E580" s="1" t="s">
        <v>170</v>
      </c>
      <c r="F580" s="4">
        <v>2707033</v>
      </c>
      <c r="G580" s="4">
        <v>1233815</v>
      </c>
      <c r="H580" s="2">
        <v>0</v>
      </c>
      <c r="I580" s="5">
        <v>1</v>
      </c>
      <c r="J580" s="5">
        <v>0</v>
      </c>
      <c r="K580" s="11" t="str">
        <f>HYPERLINK("https://www.geoportal.ch/ktsg/map/34?y=2707033&amp;x=1233815&amp;scale=2500&amp;topic=coord&amp;highlight=1&amp;label=Standort|Feuerverbotsplakat","Karte")</f>
        <v>Karte</v>
      </c>
    </row>
    <row r="581" spans="1:11" x14ac:dyDescent="0.2">
      <c r="A581" s="1" t="s">
        <v>421</v>
      </c>
      <c r="B581" s="1" t="s">
        <v>13</v>
      </c>
      <c r="C581" s="1" t="s">
        <v>427</v>
      </c>
      <c r="D581" s="2">
        <v>4087</v>
      </c>
      <c r="E581" s="1" t="s">
        <v>169</v>
      </c>
      <c r="F581" s="4">
        <v>2707203</v>
      </c>
      <c r="G581" s="4">
        <v>1233641</v>
      </c>
      <c r="H581" s="2">
        <v>0</v>
      </c>
      <c r="I581" s="5">
        <v>1</v>
      </c>
      <c r="J581" s="5">
        <v>0</v>
      </c>
      <c r="K581" s="11" t="str">
        <f>HYPERLINK("https://www.geoportal.ch/ktsg/map/34?y=2707203&amp;x=1233641&amp;scale=2500&amp;topic=coord&amp;highlight=1&amp;label=Standort|Feuerverbotsplakat","Karte")</f>
        <v>Karte</v>
      </c>
    </row>
    <row r="582" spans="1:11" x14ac:dyDescent="0.2">
      <c r="A582" s="1" t="s">
        <v>421</v>
      </c>
      <c r="B582" s="1" t="s">
        <v>13</v>
      </c>
      <c r="C582" s="1" t="s">
        <v>427</v>
      </c>
      <c r="D582" s="2">
        <v>4088</v>
      </c>
      <c r="E582" s="1" t="s">
        <v>168</v>
      </c>
      <c r="F582" s="4">
        <v>2707473</v>
      </c>
      <c r="G582" s="4">
        <v>1233382</v>
      </c>
      <c r="H582" s="2">
        <v>0</v>
      </c>
      <c r="I582" s="5">
        <v>1</v>
      </c>
      <c r="J582" s="5">
        <v>0</v>
      </c>
      <c r="K582" s="11" t="str">
        <f>HYPERLINK("https://www.geoportal.ch/ktsg/map/34?y=2707473&amp;x=1233382&amp;scale=2500&amp;topic=coord&amp;highlight=1&amp;label=Standort|Feuerverbotsplakat","Karte")</f>
        <v>Karte</v>
      </c>
    </row>
    <row r="583" spans="1:11" x14ac:dyDescent="0.2">
      <c r="A583" s="1" t="s">
        <v>421</v>
      </c>
      <c r="B583" s="1" t="s">
        <v>13</v>
      </c>
      <c r="C583" s="1" t="s">
        <v>427</v>
      </c>
      <c r="D583" s="2">
        <v>4089</v>
      </c>
      <c r="E583" s="1" t="s">
        <v>167</v>
      </c>
      <c r="F583" s="4">
        <v>2705986</v>
      </c>
      <c r="G583" s="4">
        <v>1232702</v>
      </c>
      <c r="H583" s="2">
        <v>0</v>
      </c>
      <c r="I583" s="5">
        <v>1</v>
      </c>
      <c r="J583" s="5">
        <v>0</v>
      </c>
      <c r="K583" s="11" t="str">
        <f>HYPERLINK("https://www.geoportal.ch/ktsg/map/34?y=2705986&amp;x=1232702&amp;scale=2500&amp;topic=coord&amp;highlight=1&amp;label=Standort|Feuerverbotsplakat","Karte")</f>
        <v>Karte</v>
      </c>
    </row>
    <row r="584" spans="1:11" x14ac:dyDescent="0.2">
      <c r="A584" s="1" t="s">
        <v>421</v>
      </c>
      <c r="B584" s="1" t="s">
        <v>13</v>
      </c>
      <c r="C584" s="1" t="s">
        <v>427</v>
      </c>
      <c r="D584" s="2">
        <v>4090</v>
      </c>
      <c r="E584" s="1" t="s">
        <v>166</v>
      </c>
      <c r="F584" s="4">
        <v>2707059</v>
      </c>
      <c r="G584" s="4">
        <v>1232775</v>
      </c>
      <c r="H584" s="2">
        <v>0</v>
      </c>
      <c r="I584" s="5">
        <v>1</v>
      </c>
      <c r="J584" s="5">
        <v>0</v>
      </c>
      <c r="K584" s="11" t="str">
        <f>HYPERLINK("https://www.geoportal.ch/ktsg/map/34?y=2707059&amp;x=1232775&amp;scale=2500&amp;topic=coord&amp;highlight=1&amp;label=Standort|Feuerverbotsplakat","Karte")</f>
        <v>Karte</v>
      </c>
    </row>
    <row r="585" spans="1:11" x14ac:dyDescent="0.2">
      <c r="A585" s="1" t="s">
        <v>421</v>
      </c>
      <c r="B585" s="1" t="s">
        <v>13</v>
      </c>
      <c r="C585" s="1" t="s">
        <v>427</v>
      </c>
      <c r="D585" s="2">
        <v>4091</v>
      </c>
      <c r="E585" s="1" t="s">
        <v>165</v>
      </c>
      <c r="F585" s="4">
        <v>2706572</v>
      </c>
      <c r="G585" s="4">
        <v>1232664</v>
      </c>
      <c r="H585" s="2">
        <v>0</v>
      </c>
      <c r="I585" s="5">
        <v>1</v>
      </c>
      <c r="J585" s="5">
        <v>0</v>
      </c>
      <c r="K585" s="11" t="str">
        <f>HYPERLINK("https://www.geoportal.ch/ktsg/map/34?y=2706572&amp;x=1232664&amp;scale=2500&amp;topic=coord&amp;highlight=1&amp;label=Standort|Feuerverbotsplakat","Karte")</f>
        <v>Karte</v>
      </c>
    </row>
    <row r="586" spans="1:11" x14ac:dyDescent="0.2">
      <c r="A586" s="1" t="s">
        <v>421</v>
      </c>
      <c r="B586" s="1" t="s">
        <v>13</v>
      </c>
      <c r="C586" s="1" t="s">
        <v>427</v>
      </c>
      <c r="D586" s="2">
        <v>4092</v>
      </c>
      <c r="E586" s="1" t="s">
        <v>165</v>
      </c>
      <c r="F586" s="4">
        <v>2706676</v>
      </c>
      <c r="G586" s="4">
        <v>1232603</v>
      </c>
      <c r="H586" s="2">
        <v>0</v>
      </c>
      <c r="I586" s="5">
        <v>1</v>
      </c>
      <c r="J586" s="5">
        <v>0</v>
      </c>
      <c r="K586" s="11" t="str">
        <f>HYPERLINK("https://www.geoportal.ch/ktsg/map/34?y=2706676&amp;x=1232603&amp;scale=2500&amp;topic=coord&amp;highlight=1&amp;label=Standort|Feuerverbotsplakat","Karte")</f>
        <v>Karte</v>
      </c>
    </row>
    <row r="587" spans="1:11" x14ac:dyDescent="0.2">
      <c r="A587" s="1" t="s">
        <v>421</v>
      </c>
      <c r="B587" s="1" t="s">
        <v>13</v>
      </c>
      <c r="C587" s="1" t="s">
        <v>427</v>
      </c>
      <c r="D587" s="2">
        <v>4093</v>
      </c>
      <c r="E587" s="1" t="s">
        <v>159</v>
      </c>
      <c r="F587" s="4">
        <v>2706815</v>
      </c>
      <c r="G587" s="4">
        <v>1232505</v>
      </c>
      <c r="H587" s="2">
        <v>0</v>
      </c>
      <c r="I587" s="5">
        <v>1</v>
      </c>
      <c r="J587" s="5">
        <v>0</v>
      </c>
      <c r="K587" s="11" t="str">
        <f>HYPERLINK("https://www.geoportal.ch/ktsg/map/34?y=2706815&amp;x=1232505&amp;scale=2500&amp;topic=coord&amp;highlight=1&amp;label=Standort|Feuerverbotsplakat","Karte")</f>
        <v>Karte</v>
      </c>
    </row>
    <row r="588" spans="1:11" x14ac:dyDescent="0.2">
      <c r="A588" s="1" t="s">
        <v>421</v>
      </c>
      <c r="B588" s="1" t="s">
        <v>13</v>
      </c>
      <c r="C588" s="1" t="s">
        <v>427</v>
      </c>
      <c r="D588" s="2">
        <v>4094</v>
      </c>
      <c r="E588" s="1" t="s">
        <v>158</v>
      </c>
      <c r="F588" s="4">
        <v>2706815</v>
      </c>
      <c r="G588" s="4">
        <v>1232462</v>
      </c>
      <c r="H588" s="2">
        <v>0</v>
      </c>
      <c r="I588" s="5">
        <v>1</v>
      </c>
      <c r="J588" s="5">
        <v>0</v>
      </c>
      <c r="K588" s="11" t="str">
        <f>HYPERLINK("https://www.geoportal.ch/ktsg/map/34?y=2706815&amp;x=1232462&amp;scale=2500&amp;topic=coord&amp;highlight=1&amp;label=Standort|Feuerverbotsplakat","Karte")</f>
        <v>Karte</v>
      </c>
    </row>
    <row r="589" spans="1:11" x14ac:dyDescent="0.2">
      <c r="A589" s="1" t="s">
        <v>421</v>
      </c>
      <c r="B589" s="1" t="s">
        <v>13</v>
      </c>
      <c r="C589" s="1" t="s">
        <v>427</v>
      </c>
      <c r="D589" s="2">
        <v>4095</v>
      </c>
      <c r="E589" s="1" t="s">
        <v>157</v>
      </c>
      <c r="F589" s="4">
        <v>2706941</v>
      </c>
      <c r="G589" s="4">
        <v>1232328</v>
      </c>
      <c r="H589" s="2">
        <v>0</v>
      </c>
      <c r="I589" s="5">
        <v>1</v>
      </c>
      <c r="J589" s="5">
        <v>0</v>
      </c>
      <c r="K589" s="11" t="str">
        <f>HYPERLINK("https://www.geoportal.ch/ktsg/map/34?y=2706941&amp;x=1232328&amp;scale=2500&amp;topic=coord&amp;highlight=1&amp;label=Standort|Feuerverbotsplakat","Karte")</f>
        <v>Karte</v>
      </c>
    </row>
    <row r="590" spans="1:11" x14ac:dyDescent="0.2">
      <c r="A590" s="1" t="s">
        <v>421</v>
      </c>
      <c r="B590" s="1" t="s">
        <v>13</v>
      </c>
      <c r="C590" s="1" t="s">
        <v>427</v>
      </c>
      <c r="D590" s="2">
        <v>4096</v>
      </c>
      <c r="E590" s="1" t="s">
        <v>156</v>
      </c>
      <c r="F590" s="4">
        <v>2707296</v>
      </c>
      <c r="G590" s="4">
        <v>1232521</v>
      </c>
      <c r="H590" s="2">
        <v>0</v>
      </c>
      <c r="I590" s="5">
        <v>1</v>
      </c>
      <c r="J590" s="5">
        <v>0</v>
      </c>
      <c r="K590" s="11" t="str">
        <f>HYPERLINK("https://www.geoportal.ch/ktsg/map/34?y=2707296&amp;x=1232521&amp;scale=2500&amp;topic=coord&amp;highlight=1&amp;label=Standort|Feuerverbotsplakat","Karte")</f>
        <v>Karte</v>
      </c>
    </row>
    <row r="591" spans="1:11" x14ac:dyDescent="0.2">
      <c r="A591" s="1" t="s">
        <v>421</v>
      </c>
      <c r="B591" s="1" t="s">
        <v>13</v>
      </c>
      <c r="C591" s="1" t="s">
        <v>427</v>
      </c>
      <c r="D591" s="2">
        <v>4097</v>
      </c>
      <c r="E591" s="1" t="s">
        <v>155</v>
      </c>
      <c r="F591" s="4">
        <v>2707972</v>
      </c>
      <c r="G591" s="4">
        <v>1232896</v>
      </c>
      <c r="H591" s="2">
        <v>0</v>
      </c>
      <c r="I591" s="5">
        <v>1</v>
      </c>
      <c r="J591" s="5">
        <v>0</v>
      </c>
      <c r="K591" s="11" t="str">
        <f>HYPERLINK("https://www.geoportal.ch/ktsg/map/34?y=2707972&amp;x=1232896&amp;scale=2500&amp;topic=coord&amp;highlight=1&amp;label=Standort|Feuerverbotsplakat","Karte")</f>
        <v>Karte</v>
      </c>
    </row>
    <row r="592" spans="1:11" x14ac:dyDescent="0.2">
      <c r="A592" s="1" t="s">
        <v>421</v>
      </c>
      <c r="B592" s="1" t="s">
        <v>13</v>
      </c>
      <c r="C592" s="1" t="s">
        <v>427</v>
      </c>
      <c r="D592" s="2">
        <v>4098</v>
      </c>
      <c r="E592" s="1" t="s">
        <v>154</v>
      </c>
      <c r="F592" s="4">
        <v>2708021</v>
      </c>
      <c r="G592" s="4">
        <v>1232772</v>
      </c>
      <c r="H592" s="2">
        <v>0</v>
      </c>
      <c r="I592" s="5">
        <v>1</v>
      </c>
      <c r="J592" s="5">
        <v>0</v>
      </c>
      <c r="K592" s="11" t="str">
        <f>HYPERLINK("https://www.geoportal.ch/ktsg/map/34?y=2708021&amp;x=1232772&amp;scale=2500&amp;topic=coord&amp;highlight=1&amp;label=Standort|Feuerverbotsplakat","Karte")</f>
        <v>Karte</v>
      </c>
    </row>
    <row r="593" spans="1:11" x14ac:dyDescent="0.2">
      <c r="A593" s="1" t="s">
        <v>421</v>
      </c>
      <c r="B593" s="1" t="s">
        <v>13</v>
      </c>
      <c r="C593" s="1" t="s">
        <v>427</v>
      </c>
      <c r="D593" s="2">
        <v>4099</v>
      </c>
      <c r="E593" s="1" t="s">
        <v>153</v>
      </c>
      <c r="F593" s="4">
        <v>2708133</v>
      </c>
      <c r="G593" s="4">
        <v>1232811</v>
      </c>
      <c r="H593" s="2">
        <v>0</v>
      </c>
      <c r="I593" s="5">
        <v>1</v>
      </c>
      <c r="J593" s="5">
        <v>0</v>
      </c>
      <c r="K593" s="11" t="str">
        <f>HYPERLINK("https://www.geoportal.ch/ktsg/map/34?y=2708133&amp;x=1232811&amp;scale=2500&amp;topic=coord&amp;highlight=1&amp;label=Standort|Feuerverbotsplakat","Karte")</f>
        <v>Karte</v>
      </c>
    </row>
    <row r="594" spans="1:11" x14ac:dyDescent="0.2">
      <c r="A594" s="1" t="s">
        <v>421</v>
      </c>
      <c r="B594" s="1" t="s">
        <v>13</v>
      </c>
      <c r="C594" s="1" t="s">
        <v>427</v>
      </c>
      <c r="D594" s="2">
        <v>4100</v>
      </c>
      <c r="E594" s="1" t="s">
        <v>152</v>
      </c>
      <c r="F594" s="4">
        <v>2708478</v>
      </c>
      <c r="G594" s="4">
        <v>1232734</v>
      </c>
      <c r="H594" s="2">
        <v>0</v>
      </c>
      <c r="I594" s="5">
        <v>1</v>
      </c>
      <c r="J594" s="5">
        <v>0</v>
      </c>
      <c r="K594" s="11" t="str">
        <f>HYPERLINK("https://www.geoportal.ch/ktsg/map/34?y=2708478&amp;x=1232734&amp;scale=2500&amp;topic=coord&amp;highlight=1&amp;label=Standort|Feuerverbotsplakat","Karte")</f>
        <v>Karte</v>
      </c>
    </row>
    <row r="595" spans="1:11" x14ac:dyDescent="0.2">
      <c r="A595" s="1" t="s">
        <v>421</v>
      </c>
      <c r="B595" s="1" t="s">
        <v>13</v>
      </c>
      <c r="C595" s="1" t="s">
        <v>427</v>
      </c>
      <c r="D595" s="2">
        <v>4101</v>
      </c>
      <c r="E595" s="1" t="s">
        <v>151</v>
      </c>
      <c r="F595" s="4">
        <v>2708126</v>
      </c>
      <c r="G595" s="4">
        <v>1232538</v>
      </c>
      <c r="H595" s="2">
        <v>0</v>
      </c>
      <c r="I595" s="5">
        <v>1</v>
      </c>
      <c r="J595" s="5">
        <v>0</v>
      </c>
      <c r="K595" s="11" t="str">
        <f>HYPERLINK("https://www.geoportal.ch/ktsg/map/34?y=2708126&amp;x=1232538&amp;scale=2500&amp;topic=coord&amp;highlight=1&amp;label=Standort|Feuerverbotsplakat","Karte")</f>
        <v>Karte</v>
      </c>
    </row>
    <row r="596" spans="1:11" s="7" customFormat="1" x14ac:dyDescent="0.2">
      <c r="A596" s="1" t="s">
        <v>421</v>
      </c>
      <c r="B596" s="1" t="s">
        <v>13</v>
      </c>
      <c r="C596" s="1" t="s">
        <v>427</v>
      </c>
      <c r="D596" s="2">
        <v>4102</v>
      </c>
      <c r="E596" s="1" t="s">
        <v>150</v>
      </c>
      <c r="F596" s="4">
        <v>2707536</v>
      </c>
      <c r="G596" s="4">
        <v>1232291</v>
      </c>
      <c r="H596" s="2">
        <v>0</v>
      </c>
      <c r="I596" s="5">
        <v>1</v>
      </c>
      <c r="J596" s="5">
        <v>0</v>
      </c>
      <c r="K596" s="11" t="str">
        <f>HYPERLINK("https://www.geoportal.ch/ktsg/map/34?y=2707536&amp;x=1232291&amp;scale=2500&amp;topic=coord&amp;highlight=1&amp;label=Standort|Feuerverbotsplakat","Karte")</f>
        <v>Karte</v>
      </c>
    </row>
    <row r="597" spans="1:11" s="7" customFormat="1" x14ac:dyDescent="0.2">
      <c r="A597" s="1" t="s">
        <v>421</v>
      </c>
      <c r="B597" s="1" t="s">
        <v>13</v>
      </c>
      <c r="C597" s="1" t="s">
        <v>427</v>
      </c>
      <c r="D597" s="2">
        <v>4103</v>
      </c>
      <c r="E597" s="1" t="s">
        <v>149</v>
      </c>
      <c r="F597" s="4">
        <v>2708963</v>
      </c>
      <c r="G597" s="4">
        <v>1230897</v>
      </c>
      <c r="H597" s="2">
        <v>0</v>
      </c>
      <c r="I597" s="5">
        <v>1</v>
      </c>
      <c r="J597" s="5">
        <v>0</v>
      </c>
      <c r="K597" s="11" t="str">
        <f>HYPERLINK("https://www.geoportal.ch/ktsg/map/34?y=2708963&amp;x=1230897&amp;scale=2500&amp;topic=coord&amp;highlight=1&amp;label=Standort|Feuerverbotsplakat","Karte")</f>
        <v>Karte</v>
      </c>
    </row>
    <row r="598" spans="1:11" s="7" customFormat="1" x14ac:dyDescent="0.2">
      <c r="A598" s="1" t="s">
        <v>421</v>
      </c>
      <c r="B598" s="1" t="s">
        <v>13</v>
      </c>
      <c r="C598" s="1" t="s">
        <v>427</v>
      </c>
      <c r="D598" s="2">
        <v>4104</v>
      </c>
      <c r="E598" s="1" t="s">
        <v>148</v>
      </c>
      <c r="F598" s="4">
        <v>2708811</v>
      </c>
      <c r="G598" s="4">
        <v>1231190</v>
      </c>
      <c r="H598" s="2">
        <v>0</v>
      </c>
      <c r="I598" s="5">
        <v>1</v>
      </c>
      <c r="J598" s="5">
        <v>0</v>
      </c>
      <c r="K598" s="11" t="str">
        <f>HYPERLINK("https://www.geoportal.ch/ktsg/map/34?y=2708811&amp;x=1231190&amp;scale=2500&amp;topic=coord&amp;highlight=1&amp;label=Standort|Feuerverbotsplakat","Karte")</f>
        <v>Karte</v>
      </c>
    </row>
    <row r="599" spans="1:11" s="7" customFormat="1" x14ac:dyDescent="0.2">
      <c r="A599" s="1" t="s">
        <v>421</v>
      </c>
      <c r="B599" s="1" t="s">
        <v>13</v>
      </c>
      <c r="C599" s="1" t="s">
        <v>427</v>
      </c>
      <c r="D599" s="2">
        <v>4105</v>
      </c>
      <c r="E599" s="1" t="s">
        <v>147</v>
      </c>
      <c r="F599" s="4">
        <v>2709154</v>
      </c>
      <c r="G599" s="4">
        <v>1231645</v>
      </c>
      <c r="H599" s="2">
        <v>0</v>
      </c>
      <c r="I599" s="5">
        <v>1</v>
      </c>
      <c r="J599" s="5">
        <v>0</v>
      </c>
      <c r="K599" s="11" t="str">
        <f>HYPERLINK("https://www.geoportal.ch/ktsg/map/34?y=2709154&amp;x=1231645&amp;scale=2500&amp;topic=coord&amp;highlight=1&amp;label=Standort|Feuerverbotsplakat","Karte")</f>
        <v>Karte</v>
      </c>
    </row>
    <row r="600" spans="1:11" s="7" customFormat="1" x14ac:dyDescent="0.2">
      <c r="A600" s="1" t="s">
        <v>421</v>
      </c>
      <c r="B600" s="1" t="s">
        <v>13</v>
      </c>
      <c r="C600" s="1" t="s">
        <v>427</v>
      </c>
      <c r="D600" s="2">
        <v>4106</v>
      </c>
      <c r="E600" s="1" t="s">
        <v>146</v>
      </c>
      <c r="F600" s="4">
        <v>2709476</v>
      </c>
      <c r="G600" s="4">
        <v>1231770</v>
      </c>
      <c r="H600" s="2">
        <v>0</v>
      </c>
      <c r="I600" s="5">
        <v>1</v>
      </c>
      <c r="J600" s="5">
        <v>0</v>
      </c>
      <c r="K600" s="11" t="str">
        <f>HYPERLINK("https://www.geoportal.ch/ktsg/map/34?y=2709476&amp;x=1231770&amp;scale=2500&amp;topic=coord&amp;highlight=1&amp;label=Standort|Feuerverbotsplakat","Karte")</f>
        <v>Karte</v>
      </c>
    </row>
    <row r="601" spans="1:11" x14ac:dyDescent="0.2">
      <c r="A601" s="1" t="s">
        <v>421</v>
      </c>
      <c r="B601" s="1" t="s">
        <v>13</v>
      </c>
      <c r="C601" s="1" t="s">
        <v>427</v>
      </c>
      <c r="D601" s="2">
        <v>4107</v>
      </c>
      <c r="E601" s="1" t="s">
        <v>145</v>
      </c>
      <c r="F601" s="4">
        <v>2710006</v>
      </c>
      <c r="G601" s="4">
        <v>1231746</v>
      </c>
      <c r="H601" s="2">
        <v>0</v>
      </c>
      <c r="I601" s="5">
        <v>1</v>
      </c>
      <c r="J601" s="5">
        <v>0</v>
      </c>
      <c r="K601" s="11" t="str">
        <f>HYPERLINK("https://www.geoportal.ch/ktsg/map/34?y=2710006&amp;x=1231746&amp;scale=2500&amp;topic=coord&amp;highlight=1&amp;label=Standort|Feuerverbotsplakat","Karte")</f>
        <v>Karte</v>
      </c>
    </row>
    <row r="602" spans="1:11" x14ac:dyDescent="0.2">
      <c r="A602" s="1" t="s">
        <v>421</v>
      </c>
      <c r="B602" s="1" t="s">
        <v>13</v>
      </c>
      <c r="C602" s="1" t="s">
        <v>427</v>
      </c>
      <c r="D602" s="2">
        <v>4108</v>
      </c>
      <c r="E602" s="1" t="s">
        <v>144</v>
      </c>
      <c r="F602" s="4">
        <v>2710012</v>
      </c>
      <c r="G602" s="4">
        <v>1231720</v>
      </c>
      <c r="H602" s="2">
        <v>0</v>
      </c>
      <c r="I602" s="5">
        <v>1</v>
      </c>
      <c r="J602" s="5">
        <v>0</v>
      </c>
      <c r="K602" s="11" t="str">
        <f>HYPERLINK("https://www.geoportal.ch/ktsg/map/34?y=2710012&amp;x=1231720&amp;scale=2500&amp;topic=coord&amp;highlight=1&amp;label=Standort|Feuerverbotsplakat","Karte")</f>
        <v>Karte</v>
      </c>
    </row>
    <row r="603" spans="1:11" x14ac:dyDescent="0.2">
      <c r="A603" s="1" t="s">
        <v>421</v>
      </c>
      <c r="B603" s="1" t="s">
        <v>13</v>
      </c>
      <c r="C603" s="1" t="s">
        <v>427</v>
      </c>
      <c r="D603" s="2">
        <v>4109</v>
      </c>
      <c r="E603" s="1" t="s">
        <v>143</v>
      </c>
      <c r="F603" s="4">
        <v>2710379</v>
      </c>
      <c r="G603" s="4">
        <v>1231707</v>
      </c>
      <c r="H603" s="2">
        <v>0</v>
      </c>
      <c r="I603" s="5">
        <v>1</v>
      </c>
      <c r="J603" s="5">
        <v>0</v>
      </c>
      <c r="K603" s="11" t="str">
        <f>HYPERLINK("https://www.geoportal.ch/ktsg/map/34?y=2710379&amp;x=1231707&amp;scale=2500&amp;topic=coord&amp;highlight=1&amp;label=Standort|Feuerverbotsplakat","Karte")</f>
        <v>Karte</v>
      </c>
    </row>
    <row r="604" spans="1:11" x14ac:dyDescent="0.2">
      <c r="A604" s="1" t="s">
        <v>421</v>
      </c>
      <c r="B604" s="1" t="s">
        <v>13</v>
      </c>
      <c r="C604" s="1" t="s">
        <v>427</v>
      </c>
      <c r="D604" s="2">
        <v>4110</v>
      </c>
      <c r="E604" s="1" t="s">
        <v>142</v>
      </c>
      <c r="F604" s="4">
        <v>2709614</v>
      </c>
      <c r="G604" s="4">
        <v>1230699</v>
      </c>
      <c r="H604" s="2">
        <v>0</v>
      </c>
      <c r="I604" s="5">
        <v>1</v>
      </c>
      <c r="J604" s="5">
        <v>0</v>
      </c>
      <c r="K604" s="11" t="str">
        <f>HYPERLINK("https://www.geoportal.ch/ktsg/map/34?y=2709614&amp;x=1230699&amp;scale=2500&amp;topic=coord&amp;highlight=1&amp;label=Standort|Feuerverbotsplakat","Karte")</f>
        <v>Karte</v>
      </c>
    </row>
    <row r="605" spans="1:11" x14ac:dyDescent="0.2">
      <c r="A605" s="1" t="s">
        <v>421</v>
      </c>
      <c r="B605" s="1" t="s">
        <v>13</v>
      </c>
      <c r="C605" s="1" t="s">
        <v>427</v>
      </c>
      <c r="D605" s="2">
        <v>4111</v>
      </c>
      <c r="E605" s="1" t="s">
        <v>141</v>
      </c>
      <c r="F605" s="4">
        <v>2709379</v>
      </c>
      <c r="G605" s="4">
        <v>1230718</v>
      </c>
      <c r="H605" s="2">
        <v>0</v>
      </c>
      <c r="I605" s="5">
        <v>1</v>
      </c>
      <c r="J605" s="5">
        <v>0</v>
      </c>
      <c r="K605" s="11" t="str">
        <f>HYPERLINK("https://www.geoportal.ch/ktsg/map/34?y=2709379&amp;x=1230718&amp;scale=2500&amp;topic=coord&amp;highlight=1&amp;label=Standort|Feuerverbotsplakat","Karte")</f>
        <v>Karte</v>
      </c>
    </row>
    <row r="606" spans="1:11" x14ac:dyDescent="0.2">
      <c r="A606" s="1" t="s">
        <v>421</v>
      </c>
      <c r="B606" s="1" t="s">
        <v>13</v>
      </c>
      <c r="C606" s="1" t="s">
        <v>427</v>
      </c>
      <c r="D606" s="2">
        <v>4112</v>
      </c>
      <c r="E606" s="1" t="s">
        <v>140</v>
      </c>
      <c r="F606" s="4">
        <v>2709292</v>
      </c>
      <c r="G606" s="4">
        <v>1230861</v>
      </c>
      <c r="H606" s="2">
        <v>0</v>
      </c>
      <c r="I606" s="5">
        <v>1</v>
      </c>
      <c r="J606" s="5">
        <v>0</v>
      </c>
      <c r="K606" s="11" t="str">
        <f>HYPERLINK("https://www.geoportal.ch/ktsg/map/34?y=2709292&amp;x=1230861&amp;scale=2500&amp;topic=coord&amp;highlight=1&amp;label=Standort|Feuerverbotsplakat","Karte")</f>
        <v>Karte</v>
      </c>
    </row>
    <row r="607" spans="1:11" x14ac:dyDescent="0.2">
      <c r="A607" s="1" t="s">
        <v>421</v>
      </c>
      <c r="B607" s="1" t="s">
        <v>13</v>
      </c>
      <c r="C607" s="1" t="s">
        <v>427</v>
      </c>
      <c r="D607" s="2">
        <v>4113</v>
      </c>
      <c r="E607" s="1" t="s">
        <v>139</v>
      </c>
      <c r="F607" s="4">
        <v>2709315</v>
      </c>
      <c r="G607" s="4">
        <v>1231208</v>
      </c>
      <c r="H607" s="2">
        <v>0</v>
      </c>
      <c r="I607" s="5">
        <v>1</v>
      </c>
      <c r="J607" s="5">
        <v>0</v>
      </c>
      <c r="K607" s="11" t="str">
        <f>HYPERLINK("https://www.geoportal.ch/ktsg/map/34?y=2709315&amp;x=1231208&amp;scale=2500&amp;topic=coord&amp;highlight=1&amp;label=Standort|Feuerverbotsplakat","Karte")</f>
        <v>Karte</v>
      </c>
    </row>
    <row r="608" spans="1:11" x14ac:dyDescent="0.2">
      <c r="A608" s="1" t="s">
        <v>421</v>
      </c>
      <c r="B608" s="1" t="s">
        <v>13</v>
      </c>
      <c r="C608" s="1" t="s">
        <v>427</v>
      </c>
      <c r="D608" s="2">
        <v>4114</v>
      </c>
      <c r="E608" s="1" t="s">
        <v>138</v>
      </c>
      <c r="F608" s="4">
        <v>2709444</v>
      </c>
      <c r="G608" s="4">
        <v>1231288</v>
      </c>
      <c r="H608" s="2">
        <v>0</v>
      </c>
      <c r="I608" s="5">
        <v>1</v>
      </c>
      <c r="J608" s="5">
        <v>0</v>
      </c>
      <c r="K608" s="11" t="str">
        <f>HYPERLINK("https://www.geoportal.ch/ktsg/map/34?y=2709444&amp;x=1231288&amp;scale=2500&amp;topic=coord&amp;highlight=1&amp;label=Standort|Feuerverbotsplakat","Karte")</f>
        <v>Karte</v>
      </c>
    </row>
    <row r="609" spans="1:11" x14ac:dyDescent="0.2">
      <c r="A609" s="1" t="s">
        <v>421</v>
      </c>
      <c r="B609" s="1" t="s">
        <v>13</v>
      </c>
      <c r="C609" s="1" t="s">
        <v>427</v>
      </c>
      <c r="D609" s="2">
        <v>4115</v>
      </c>
      <c r="E609" s="1" t="s">
        <v>137</v>
      </c>
      <c r="F609" s="4">
        <v>2710306</v>
      </c>
      <c r="G609" s="4">
        <v>1231573</v>
      </c>
      <c r="H609" s="2">
        <v>0</v>
      </c>
      <c r="I609" s="5">
        <v>1</v>
      </c>
      <c r="J609" s="5">
        <v>0</v>
      </c>
      <c r="K609" s="11" t="str">
        <f>HYPERLINK("https://www.geoportal.ch/ktsg/map/34?y=2710306&amp;x=1231573&amp;scale=2500&amp;topic=coord&amp;highlight=1&amp;label=Standort|Feuerverbotsplakat","Karte")</f>
        <v>Karte</v>
      </c>
    </row>
    <row r="610" spans="1:11" x14ac:dyDescent="0.2">
      <c r="A610" s="1" t="s">
        <v>421</v>
      </c>
      <c r="B610" s="1" t="s">
        <v>13</v>
      </c>
      <c r="C610" s="1" t="s">
        <v>427</v>
      </c>
      <c r="D610" s="2">
        <v>4116</v>
      </c>
      <c r="E610" s="1" t="s">
        <v>136</v>
      </c>
      <c r="F610" s="4">
        <v>2710227</v>
      </c>
      <c r="G610" s="4">
        <v>1231718</v>
      </c>
      <c r="H610" s="2">
        <v>0</v>
      </c>
      <c r="I610" s="5">
        <v>1</v>
      </c>
      <c r="J610" s="5">
        <v>0</v>
      </c>
      <c r="K610" s="11" t="str">
        <f>HYPERLINK("https://www.geoportal.ch/ktsg/map/34?y=2710227&amp;x=1231718&amp;scale=2500&amp;topic=coord&amp;highlight=1&amp;label=Standort|Feuerverbotsplakat","Karte")</f>
        <v>Karte</v>
      </c>
    </row>
    <row r="611" spans="1:11" x14ac:dyDescent="0.2">
      <c r="A611" s="1" t="s">
        <v>421</v>
      </c>
      <c r="B611" s="1" t="s">
        <v>13</v>
      </c>
      <c r="C611" s="1" t="s">
        <v>427</v>
      </c>
      <c r="D611" s="2">
        <v>4117</v>
      </c>
      <c r="E611" s="1" t="s">
        <v>135</v>
      </c>
      <c r="F611" s="4">
        <v>2709712</v>
      </c>
      <c r="G611" s="4">
        <v>1231091</v>
      </c>
      <c r="H611" s="2">
        <v>0</v>
      </c>
      <c r="I611" s="5">
        <v>1</v>
      </c>
      <c r="J611" s="5">
        <v>0</v>
      </c>
      <c r="K611" s="11" t="str">
        <f>HYPERLINK("https://www.geoportal.ch/ktsg/map/34?y=2709712&amp;x=1231091&amp;scale=2500&amp;topic=coord&amp;highlight=1&amp;label=Standort|Feuerverbotsplakat","Karte")</f>
        <v>Karte</v>
      </c>
    </row>
    <row r="612" spans="1:11" x14ac:dyDescent="0.2">
      <c r="A612" s="1" t="s">
        <v>421</v>
      </c>
      <c r="B612" s="1" t="s">
        <v>13</v>
      </c>
      <c r="C612" s="1" t="s">
        <v>427</v>
      </c>
      <c r="D612" s="2">
        <v>4118</v>
      </c>
      <c r="E612" s="1" t="s">
        <v>134</v>
      </c>
      <c r="F612" s="4">
        <v>2706971</v>
      </c>
      <c r="G612" s="4">
        <v>1232892</v>
      </c>
      <c r="H612" s="2">
        <v>0</v>
      </c>
      <c r="I612" s="5">
        <v>1</v>
      </c>
      <c r="J612" s="5">
        <v>0</v>
      </c>
      <c r="K612" s="11" t="str">
        <f>HYPERLINK("https://www.geoportal.ch/ktsg/map/34?y=2706971&amp;x=1232892&amp;scale=2500&amp;topic=coord&amp;highlight=1&amp;label=Standort|Feuerverbotsplakat","Karte")</f>
        <v>Karte</v>
      </c>
    </row>
    <row r="613" spans="1:11" x14ac:dyDescent="0.2">
      <c r="A613" s="1" t="s">
        <v>421</v>
      </c>
      <c r="B613" s="1" t="s">
        <v>13</v>
      </c>
      <c r="C613" s="1" t="s">
        <v>427</v>
      </c>
      <c r="D613" s="2">
        <v>4119</v>
      </c>
      <c r="E613" s="1" t="s">
        <v>133</v>
      </c>
      <c r="F613" s="4">
        <v>2710498</v>
      </c>
      <c r="G613" s="4">
        <v>1231444</v>
      </c>
      <c r="H613" s="2">
        <v>0</v>
      </c>
      <c r="I613" s="5">
        <v>1</v>
      </c>
      <c r="J613" s="5">
        <v>0</v>
      </c>
      <c r="K613" s="11" t="str">
        <f>HYPERLINK("https://www.geoportal.ch/ktsg/map/34?y=2710498&amp;x=1231444&amp;scale=2500&amp;topic=coord&amp;highlight=1&amp;label=Standort|Feuerverbotsplakat","Karte")</f>
        <v>Karte</v>
      </c>
    </row>
    <row r="614" spans="1:11" x14ac:dyDescent="0.2">
      <c r="A614" s="1" t="s">
        <v>421</v>
      </c>
      <c r="B614" s="1" t="s">
        <v>12</v>
      </c>
      <c r="C614" s="1" t="s">
        <v>11</v>
      </c>
      <c r="D614" s="2">
        <v>4120</v>
      </c>
      <c r="E614" s="1" t="s">
        <v>181</v>
      </c>
      <c r="F614" s="4">
        <v>2722080</v>
      </c>
      <c r="G614" s="4">
        <v>1232340</v>
      </c>
      <c r="H614" s="2">
        <v>0</v>
      </c>
      <c r="I614" s="5">
        <v>1</v>
      </c>
      <c r="J614" s="5">
        <v>0</v>
      </c>
      <c r="K614" s="11" t="str">
        <f>HYPERLINK("https://www.geoportal.ch/ktsg/map/34?y=2722080&amp;x=1232340&amp;scale=2500&amp;topic=coord&amp;highlight=1&amp;label=Standort|Feuerverbotsplakat","Karte")</f>
        <v>Karte</v>
      </c>
    </row>
    <row r="615" spans="1:11" x14ac:dyDescent="0.2">
      <c r="A615" s="1" t="s">
        <v>421</v>
      </c>
      <c r="B615" s="1" t="s">
        <v>12</v>
      </c>
      <c r="C615" s="1" t="s">
        <v>11</v>
      </c>
      <c r="D615" s="2">
        <v>4121</v>
      </c>
      <c r="E615" s="1" t="s">
        <v>132</v>
      </c>
      <c r="F615" s="4">
        <v>2723980</v>
      </c>
      <c r="G615" s="4">
        <v>1231580</v>
      </c>
      <c r="H615" s="2">
        <v>0</v>
      </c>
      <c r="I615" s="5">
        <v>1</v>
      </c>
      <c r="J615" s="5">
        <v>0</v>
      </c>
      <c r="K615" s="11" t="str">
        <f>HYPERLINK("https://www.geoportal.ch/ktsg/map/34?y=2723980&amp;x=1231580&amp;scale=2500&amp;topic=coord&amp;highlight=1&amp;label=Standort|Feuerverbotsplakat","Karte")</f>
        <v>Karte</v>
      </c>
    </row>
    <row r="616" spans="1:11" x14ac:dyDescent="0.2">
      <c r="A616" s="1" t="s">
        <v>421</v>
      </c>
      <c r="B616" s="1" t="s">
        <v>12</v>
      </c>
      <c r="C616" s="1" t="s">
        <v>11</v>
      </c>
      <c r="D616" s="2">
        <v>4122</v>
      </c>
      <c r="E616" s="1" t="s">
        <v>849</v>
      </c>
      <c r="F616" s="4">
        <v>2725115</v>
      </c>
      <c r="G616" s="4">
        <v>1232510</v>
      </c>
      <c r="H616" s="2">
        <v>0</v>
      </c>
      <c r="I616" s="5">
        <v>1</v>
      </c>
      <c r="J616" s="5">
        <v>0</v>
      </c>
      <c r="K616" s="11" t="str">
        <f>HYPERLINK("https://www.geoportal.ch/ktsg/map/34?y=2725115&amp;x=1232510&amp;scale=2500&amp;topic=coord&amp;highlight=1&amp;label=Standort|Feuerverbotsplakat","Karte")</f>
        <v>Karte</v>
      </c>
    </row>
    <row r="617" spans="1:11" x14ac:dyDescent="0.2">
      <c r="A617" s="1" t="s">
        <v>421</v>
      </c>
      <c r="B617" s="1" t="s">
        <v>12</v>
      </c>
      <c r="C617" s="1" t="s">
        <v>11</v>
      </c>
      <c r="D617" s="2">
        <v>4123</v>
      </c>
      <c r="E617" s="1" t="s">
        <v>850</v>
      </c>
      <c r="F617" s="4">
        <v>2724905</v>
      </c>
      <c r="G617" s="4">
        <v>1232056</v>
      </c>
      <c r="H617" s="2">
        <v>0</v>
      </c>
      <c r="I617" s="5">
        <v>1</v>
      </c>
      <c r="J617" s="5">
        <v>0</v>
      </c>
      <c r="K617" s="11" t="str">
        <f>HYPERLINK("https://www.geoportal.ch/ktsg/map/34?y=2724905&amp;x=1232056&amp;scale=2500&amp;topic=coord&amp;highlight=1&amp;label=Standort|Feuerverbotsplakat","Karte")</f>
        <v>Karte</v>
      </c>
    </row>
    <row r="618" spans="1:11" x14ac:dyDescent="0.2">
      <c r="A618" s="1" t="s">
        <v>421</v>
      </c>
      <c r="B618" s="1" t="s">
        <v>12</v>
      </c>
      <c r="C618" s="1" t="s">
        <v>11</v>
      </c>
      <c r="D618" s="2">
        <v>4124</v>
      </c>
      <c r="E618" s="1" t="s">
        <v>851</v>
      </c>
      <c r="F618" s="4">
        <v>2723530</v>
      </c>
      <c r="G618" s="4">
        <v>1232540</v>
      </c>
      <c r="H618" s="2">
        <v>0</v>
      </c>
      <c r="I618" s="5">
        <v>1</v>
      </c>
      <c r="J618" s="5">
        <v>0</v>
      </c>
      <c r="K618" s="11" t="str">
        <f>HYPERLINK("https://www.geoportal.ch/ktsg/map/34?y=2723530&amp;x=1232540&amp;scale=2500&amp;topic=coord&amp;highlight=1&amp;label=Standort|Feuerverbotsplakat","Karte")</f>
        <v>Karte</v>
      </c>
    </row>
    <row r="619" spans="1:11" x14ac:dyDescent="0.2">
      <c r="A619" s="1" t="s">
        <v>421</v>
      </c>
      <c r="B619" s="1" t="s">
        <v>12</v>
      </c>
      <c r="C619" s="1" t="s">
        <v>11</v>
      </c>
      <c r="D619" s="2">
        <v>4125</v>
      </c>
      <c r="E619" s="1" t="s">
        <v>852</v>
      </c>
      <c r="F619" s="4">
        <v>2724530</v>
      </c>
      <c r="G619" s="4">
        <v>1230910</v>
      </c>
      <c r="H619" s="2">
        <v>0</v>
      </c>
      <c r="I619" s="5">
        <v>1</v>
      </c>
      <c r="J619" s="5">
        <v>0</v>
      </c>
      <c r="K619" s="11" t="str">
        <f>HYPERLINK("https://www.geoportal.ch/ktsg/map/34?y=2724530&amp;x=1230910&amp;scale=2500&amp;topic=coord&amp;highlight=1&amp;label=Standort|Feuerverbotsplakat","Karte")</f>
        <v>Karte</v>
      </c>
    </row>
    <row r="620" spans="1:11" x14ac:dyDescent="0.2">
      <c r="A620" s="1" t="s">
        <v>421</v>
      </c>
      <c r="B620" s="1" t="s">
        <v>17</v>
      </c>
      <c r="C620" s="1" t="s">
        <v>16</v>
      </c>
      <c r="D620" s="2">
        <v>4126</v>
      </c>
      <c r="E620" s="1" t="s">
        <v>853</v>
      </c>
      <c r="F620" s="4">
        <v>2724650</v>
      </c>
      <c r="G620" s="4">
        <v>1227570</v>
      </c>
      <c r="H620" s="2">
        <v>0</v>
      </c>
      <c r="I620" s="5">
        <v>1</v>
      </c>
      <c r="J620" s="5">
        <v>0</v>
      </c>
      <c r="K620" s="11" t="str">
        <f>HYPERLINK("https://www.geoportal.ch/ktsg/map/34?y=2724650&amp;x=1227570&amp;scale=2500&amp;topic=coord&amp;highlight=1&amp;label=Standort|Feuerverbotsplakat","Karte")</f>
        <v>Karte</v>
      </c>
    </row>
    <row r="621" spans="1:11" x14ac:dyDescent="0.2">
      <c r="A621" s="1" t="s">
        <v>421</v>
      </c>
      <c r="B621" s="1" t="s">
        <v>17</v>
      </c>
      <c r="C621" s="1" t="s">
        <v>16</v>
      </c>
      <c r="D621" s="2">
        <v>4127</v>
      </c>
      <c r="E621" s="1" t="s">
        <v>854</v>
      </c>
      <c r="F621" s="4">
        <v>2723600</v>
      </c>
      <c r="G621" s="4">
        <v>1225500</v>
      </c>
      <c r="H621" s="2">
        <v>0</v>
      </c>
      <c r="I621" s="5">
        <v>1</v>
      </c>
      <c r="J621" s="5">
        <v>0</v>
      </c>
      <c r="K621" s="11" t="str">
        <f>HYPERLINK("https://www.geoportal.ch/ktsg/map/34?y=2723600&amp;x=1225500&amp;scale=2500&amp;topic=coord&amp;highlight=1&amp;label=Standort|Feuerverbotsplakat","Karte")</f>
        <v>Karte</v>
      </c>
    </row>
    <row r="622" spans="1:11" x14ac:dyDescent="0.2">
      <c r="A622" s="1" t="s">
        <v>421</v>
      </c>
      <c r="B622" s="1" t="s">
        <v>17</v>
      </c>
      <c r="C622" s="1" t="s">
        <v>16</v>
      </c>
      <c r="D622" s="2">
        <v>4128</v>
      </c>
      <c r="E622" s="1" t="s">
        <v>182</v>
      </c>
      <c r="F622" s="4">
        <v>2722980</v>
      </c>
      <c r="G622" s="4">
        <v>1228550</v>
      </c>
      <c r="H622" s="2">
        <v>0</v>
      </c>
      <c r="I622" s="5">
        <v>1</v>
      </c>
      <c r="J622" s="5">
        <v>0</v>
      </c>
      <c r="K622" s="11" t="str">
        <f>HYPERLINK("https://www.geoportal.ch/ktsg/map/34?y=2722980&amp;x=1228550&amp;scale=2500&amp;topic=coord&amp;highlight=1&amp;label=Standort|Feuerverbotsplakat","Karte")</f>
        <v>Karte</v>
      </c>
    </row>
    <row r="623" spans="1:11" x14ac:dyDescent="0.2">
      <c r="A623" s="1" t="s">
        <v>421</v>
      </c>
      <c r="B623" s="1" t="s">
        <v>17</v>
      </c>
      <c r="C623" s="1" t="s">
        <v>16</v>
      </c>
      <c r="D623" s="2">
        <v>4129</v>
      </c>
      <c r="E623" s="1" t="s">
        <v>855</v>
      </c>
      <c r="F623" s="4">
        <v>2721910</v>
      </c>
      <c r="G623" s="4">
        <v>1226340</v>
      </c>
      <c r="H623" s="2">
        <v>0</v>
      </c>
      <c r="I623" s="5">
        <v>1</v>
      </c>
      <c r="J623" s="5">
        <v>0</v>
      </c>
      <c r="K623" s="11" t="str">
        <f>HYPERLINK("https://www.geoportal.ch/ktsg/map/34?y=2721910&amp;x=1226340&amp;scale=2500&amp;topic=coord&amp;highlight=1&amp;label=Standort|Feuerverbotsplakat","Karte")</f>
        <v>Karte</v>
      </c>
    </row>
    <row r="624" spans="1:11" x14ac:dyDescent="0.2">
      <c r="A624" s="1" t="s">
        <v>421</v>
      </c>
      <c r="B624" s="1" t="s">
        <v>17</v>
      </c>
      <c r="C624" s="1" t="s">
        <v>16</v>
      </c>
      <c r="D624" s="2">
        <v>4130</v>
      </c>
      <c r="E624" s="1" t="s">
        <v>541</v>
      </c>
      <c r="F624" s="4">
        <v>2721760</v>
      </c>
      <c r="G624" s="4">
        <v>1228310</v>
      </c>
      <c r="H624" s="2">
        <v>0</v>
      </c>
      <c r="I624" s="5">
        <v>1</v>
      </c>
      <c r="J624" s="5">
        <v>0</v>
      </c>
      <c r="K624" s="11" t="str">
        <f>HYPERLINK("https://www.geoportal.ch/ktsg/map/34?y=2721760&amp;x=1228310&amp;scale=2500&amp;topic=coord&amp;highlight=1&amp;label=Standort|Feuerverbotsplakat","Karte")</f>
        <v>Karte</v>
      </c>
    </row>
    <row r="625" spans="1:11" x14ac:dyDescent="0.2">
      <c r="A625" s="1" t="s">
        <v>421</v>
      </c>
      <c r="B625" s="1" t="s">
        <v>17</v>
      </c>
      <c r="C625" s="1" t="s">
        <v>9</v>
      </c>
      <c r="D625" s="2">
        <v>4131</v>
      </c>
      <c r="E625" s="1" t="s">
        <v>685</v>
      </c>
      <c r="F625" s="4">
        <v>2724190</v>
      </c>
      <c r="G625" s="4">
        <v>1221550</v>
      </c>
      <c r="H625" s="2">
        <v>0</v>
      </c>
      <c r="I625" s="5">
        <v>1</v>
      </c>
      <c r="J625" s="5">
        <v>0</v>
      </c>
      <c r="K625" s="11" t="str">
        <f>HYPERLINK("https://www.geoportal.ch/ktsg/map/34?y=2724190&amp;x=1221550&amp;scale=2500&amp;topic=coord&amp;highlight=1&amp;label=Standort|Feuerverbotsplakat","Karte")</f>
        <v>Karte</v>
      </c>
    </row>
    <row r="626" spans="1:11" x14ac:dyDescent="0.2">
      <c r="A626" s="1" t="s">
        <v>421</v>
      </c>
      <c r="B626" s="1" t="s">
        <v>17</v>
      </c>
      <c r="C626" s="1" t="s">
        <v>9</v>
      </c>
      <c r="D626" s="2">
        <v>4132</v>
      </c>
      <c r="E626" s="1" t="s">
        <v>684</v>
      </c>
      <c r="F626" s="4">
        <v>2723700</v>
      </c>
      <c r="G626" s="4">
        <v>1221500</v>
      </c>
      <c r="H626" s="2">
        <v>0</v>
      </c>
      <c r="I626" s="5">
        <v>1</v>
      </c>
      <c r="J626" s="5">
        <v>0</v>
      </c>
      <c r="K626" s="11" t="str">
        <f>HYPERLINK("https://www.geoportal.ch/ktsg/map/34?y=2723700&amp;x=1221500&amp;scale=2500&amp;topic=coord&amp;highlight=1&amp;label=Standort|Feuerverbotsplakat","Karte")</f>
        <v>Karte</v>
      </c>
    </row>
    <row r="627" spans="1:11" x14ac:dyDescent="0.2">
      <c r="A627" s="1" t="s">
        <v>421</v>
      </c>
      <c r="B627" s="1" t="s">
        <v>17</v>
      </c>
      <c r="C627" s="1" t="s">
        <v>9</v>
      </c>
      <c r="D627" s="2">
        <v>4133</v>
      </c>
      <c r="E627" s="1" t="s">
        <v>833</v>
      </c>
      <c r="F627" s="4">
        <v>2721778</v>
      </c>
      <c r="G627" s="4">
        <v>1224303</v>
      </c>
      <c r="H627" s="2">
        <v>0</v>
      </c>
      <c r="I627" s="5">
        <v>1</v>
      </c>
      <c r="J627" s="5">
        <v>0</v>
      </c>
      <c r="K627" s="11" t="str">
        <f>HYPERLINK("https://www.geoportal.ch/ktsg/map/34?y=2721778&amp;x=1224303&amp;scale=2500&amp;topic=coord&amp;highlight=1&amp;label=Standort|Feuerverbotsplakat","Karte")</f>
        <v>Karte</v>
      </c>
    </row>
    <row r="628" spans="1:11" x14ac:dyDescent="0.2">
      <c r="A628" s="1" t="s">
        <v>421</v>
      </c>
      <c r="B628" s="1" t="s">
        <v>17</v>
      </c>
      <c r="C628" s="1" t="s">
        <v>9</v>
      </c>
      <c r="D628" s="2">
        <v>4134</v>
      </c>
      <c r="E628" s="1" t="s">
        <v>186</v>
      </c>
      <c r="F628" s="4">
        <v>2722556</v>
      </c>
      <c r="G628" s="4">
        <v>1222259</v>
      </c>
      <c r="H628" s="2">
        <v>0</v>
      </c>
      <c r="I628" s="5">
        <v>1</v>
      </c>
      <c r="J628" s="5">
        <v>0</v>
      </c>
      <c r="K628" s="11" t="str">
        <f>HYPERLINK("https://www.geoportal.ch/ktsg/map/34?y=2722556&amp;x=1222259&amp;scale=2500&amp;topic=coord&amp;highlight=1&amp;label=Standort|Feuerverbotsplakat","Karte")</f>
        <v>Karte</v>
      </c>
    </row>
    <row r="629" spans="1:11" x14ac:dyDescent="0.2">
      <c r="A629" s="1" t="s">
        <v>421</v>
      </c>
      <c r="B629" s="1" t="s">
        <v>17</v>
      </c>
      <c r="C629" s="1" t="s">
        <v>9</v>
      </c>
      <c r="D629" s="2">
        <v>4135</v>
      </c>
      <c r="E629" s="1" t="s">
        <v>856</v>
      </c>
      <c r="F629" s="4">
        <v>2722504</v>
      </c>
      <c r="G629" s="4">
        <v>1223734</v>
      </c>
      <c r="H629" s="2">
        <v>0</v>
      </c>
      <c r="I629" s="5">
        <v>1</v>
      </c>
      <c r="J629" s="5">
        <v>0</v>
      </c>
      <c r="K629" s="11" t="str">
        <f>HYPERLINK("https://www.geoportal.ch/ktsg/map/34?y=2722504&amp;x=1223734&amp;scale=2500&amp;topic=coord&amp;highlight=1&amp;label=Standort|Feuerverbotsplakat","Karte")</f>
        <v>Karte</v>
      </c>
    </row>
    <row r="630" spans="1:11" x14ac:dyDescent="0.2">
      <c r="A630" s="1" t="s">
        <v>421</v>
      </c>
      <c r="B630" s="1" t="s">
        <v>17</v>
      </c>
      <c r="C630" s="1" t="s">
        <v>9</v>
      </c>
      <c r="D630" s="2">
        <v>4136</v>
      </c>
      <c r="E630" s="1" t="s">
        <v>857</v>
      </c>
      <c r="F630" s="4">
        <v>2722503</v>
      </c>
      <c r="G630" s="4">
        <v>1224943</v>
      </c>
      <c r="H630" s="2">
        <v>0</v>
      </c>
      <c r="I630" s="5">
        <v>1</v>
      </c>
      <c r="J630" s="5">
        <v>0</v>
      </c>
      <c r="K630" s="11" t="str">
        <f>HYPERLINK("https://www.geoportal.ch/ktsg/map/34?y=2722503&amp;x=1224943&amp;scale=2500&amp;topic=coord&amp;highlight=1&amp;label=Standort|Feuerverbotsplakat","Karte")</f>
        <v>Karte</v>
      </c>
    </row>
    <row r="631" spans="1:11" x14ac:dyDescent="0.2">
      <c r="A631" s="1" t="s">
        <v>421</v>
      </c>
      <c r="B631" s="1" t="s">
        <v>17</v>
      </c>
      <c r="C631" s="1" t="s">
        <v>9</v>
      </c>
      <c r="D631" s="2">
        <v>4137</v>
      </c>
      <c r="E631" s="1" t="s">
        <v>858</v>
      </c>
      <c r="F631" s="4">
        <v>2723019</v>
      </c>
      <c r="G631" s="4">
        <v>1224637</v>
      </c>
      <c r="H631" s="2">
        <v>0</v>
      </c>
      <c r="I631" s="5">
        <v>1</v>
      </c>
      <c r="J631" s="5">
        <v>0</v>
      </c>
      <c r="K631" s="11" t="str">
        <f>HYPERLINK("https://www.geoportal.ch/ktsg/map/34?y=2723019&amp;x=1224637&amp;scale=2500&amp;topic=coord&amp;highlight=1&amp;label=Standort|Feuerverbotsplakat","Karte")</f>
        <v>Karte</v>
      </c>
    </row>
    <row r="632" spans="1:11" x14ac:dyDescent="0.2">
      <c r="A632" s="1" t="s">
        <v>421</v>
      </c>
      <c r="B632" s="1" t="s">
        <v>17</v>
      </c>
      <c r="C632" s="1" t="s">
        <v>9</v>
      </c>
      <c r="D632" s="2">
        <v>4138</v>
      </c>
      <c r="E632" s="1" t="s">
        <v>185</v>
      </c>
      <c r="F632" s="4">
        <v>2723081</v>
      </c>
      <c r="G632" s="4">
        <v>1224449</v>
      </c>
      <c r="H632" s="2">
        <v>0</v>
      </c>
      <c r="I632" s="5">
        <v>1</v>
      </c>
      <c r="J632" s="5">
        <v>0</v>
      </c>
      <c r="K632" s="11" t="str">
        <f>HYPERLINK("https://www.geoportal.ch/ktsg/map/34?y=2723081&amp;x=1224449&amp;scale=2500&amp;topic=coord&amp;highlight=1&amp;label=Standort|Feuerverbotsplakat","Karte")</f>
        <v>Karte</v>
      </c>
    </row>
    <row r="633" spans="1:11" x14ac:dyDescent="0.2">
      <c r="A633" s="1" t="s">
        <v>421</v>
      </c>
      <c r="B633" s="1" t="s">
        <v>17</v>
      </c>
      <c r="C633" s="1" t="s">
        <v>9</v>
      </c>
      <c r="D633" s="2">
        <v>4139</v>
      </c>
      <c r="E633" s="1" t="s">
        <v>544</v>
      </c>
      <c r="F633" s="4">
        <v>2722261</v>
      </c>
      <c r="G633" s="4">
        <v>1224365</v>
      </c>
      <c r="H633" s="2">
        <v>0</v>
      </c>
      <c r="I633" s="5">
        <v>1</v>
      </c>
      <c r="J633" s="5">
        <v>0</v>
      </c>
      <c r="K633" s="11" t="str">
        <f>HYPERLINK("https://www.geoportal.ch/ktsg/map/34?y=2722261&amp;x=1224365&amp;scale=2500&amp;topic=coord&amp;highlight=1&amp;label=Standort|Feuerverbotsplakat","Karte")</f>
        <v>Karte</v>
      </c>
    </row>
    <row r="634" spans="1:11" x14ac:dyDescent="0.2">
      <c r="A634" s="1" t="s">
        <v>421</v>
      </c>
      <c r="B634" s="1" t="s">
        <v>17</v>
      </c>
      <c r="C634" s="1" t="s">
        <v>542</v>
      </c>
      <c r="D634" s="2">
        <v>4140</v>
      </c>
      <c r="E634" s="1" t="s">
        <v>543</v>
      </c>
      <c r="F634" s="4">
        <v>2721457</v>
      </c>
      <c r="G634" s="4">
        <v>1224528</v>
      </c>
      <c r="H634" s="2">
        <v>0</v>
      </c>
      <c r="I634" s="5">
        <v>1</v>
      </c>
      <c r="J634" s="5">
        <v>0</v>
      </c>
      <c r="K634" s="11" t="str">
        <f>HYPERLINK("https://www.geoportal.ch/ktsg/map/34?y=2721457&amp;x=1224528&amp;scale=2500&amp;topic=coord&amp;highlight=1&amp;label=Standort|Feuerverbotsplakat","Karte")</f>
        <v>Karte</v>
      </c>
    </row>
    <row r="635" spans="1:11" x14ac:dyDescent="0.2">
      <c r="A635" s="1" t="s">
        <v>421</v>
      </c>
      <c r="B635" s="1" t="s">
        <v>4</v>
      </c>
      <c r="C635" s="1" t="s">
        <v>2</v>
      </c>
      <c r="D635" s="2">
        <v>4141</v>
      </c>
      <c r="E635" s="1" t="s">
        <v>122</v>
      </c>
      <c r="F635" s="4">
        <v>2712395</v>
      </c>
      <c r="G635" s="4">
        <v>1232045</v>
      </c>
      <c r="H635" s="2">
        <v>0</v>
      </c>
      <c r="I635" s="5">
        <v>1</v>
      </c>
      <c r="J635" s="5">
        <v>0</v>
      </c>
      <c r="K635" s="11" t="str">
        <f>HYPERLINK("https://www.geoportal.ch/ktsg/map/34?y=2712395&amp;x=1232045&amp;scale=2500&amp;topic=coord&amp;highlight=1&amp;label=Standort|Feuerverbotsplakat","Karte")</f>
        <v>Karte</v>
      </c>
    </row>
    <row r="636" spans="1:11" x14ac:dyDescent="0.2">
      <c r="A636" s="1" t="s">
        <v>421</v>
      </c>
      <c r="B636" s="1" t="s">
        <v>4</v>
      </c>
      <c r="C636" s="1" t="s">
        <v>2</v>
      </c>
      <c r="D636" s="2">
        <v>4142</v>
      </c>
      <c r="E636" s="1" t="s">
        <v>545</v>
      </c>
      <c r="F636" s="4">
        <v>2712470</v>
      </c>
      <c r="G636" s="4">
        <v>1231805</v>
      </c>
      <c r="H636" s="2">
        <v>0</v>
      </c>
      <c r="I636" s="5">
        <v>2</v>
      </c>
      <c r="J636" s="5">
        <v>0</v>
      </c>
      <c r="K636" s="11" t="str">
        <f>HYPERLINK("https://www.geoportal.ch/ktsg/map/34?y=2712470&amp;x=1231805&amp;scale=2500&amp;topic=coord&amp;highlight=1&amp;label=Standort|Feuerverbotsplakat","Karte")</f>
        <v>Karte</v>
      </c>
    </row>
    <row r="637" spans="1:11" x14ac:dyDescent="0.2">
      <c r="A637" s="1" t="s">
        <v>421</v>
      </c>
      <c r="B637" s="1" t="s">
        <v>4</v>
      </c>
      <c r="C637" s="1" t="s">
        <v>2</v>
      </c>
      <c r="D637" s="2">
        <v>4143</v>
      </c>
      <c r="E637" s="1" t="s">
        <v>121</v>
      </c>
      <c r="F637" s="4">
        <v>2713185</v>
      </c>
      <c r="G637" s="4">
        <v>1232090</v>
      </c>
      <c r="H637" s="2">
        <v>0</v>
      </c>
      <c r="I637" s="5">
        <v>1</v>
      </c>
      <c r="J637" s="5">
        <v>0</v>
      </c>
      <c r="K637" s="11" t="str">
        <f>HYPERLINK("https://www.geoportal.ch/ktsg/map/34?y=2713185&amp;x=1232090&amp;scale=2500&amp;topic=coord&amp;highlight=1&amp;label=Standort|Feuerverbotsplakat","Karte")</f>
        <v>Karte</v>
      </c>
    </row>
    <row r="638" spans="1:11" x14ac:dyDescent="0.2">
      <c r="A638" s="1" t="s">
        <v>421</v>
      </c>
      <c r="B638" s="1" t="s">
        <v>4</v>
      </c>
      <c r="C638" s="1" t="s">
        <v>2</v>
      </c>
      <c r="D638" s="2">
        <v>4144</v>
      </c>
      <c r="E638" s="1" t="s">
        <v>120</v>
      </c>
      <c r="F638" s="4">
        <v>2713995</v>
      </c>
      <c r="G638" s="4">
        <v>1232225</v>
      </c>
      <c r="H638" s="2">
        <v>0</v>
      </c>
      <c r="I638" s="5">
        <v>1</v>
      </c>
      <c r="J638" s="5">
        <v>0</v>
      </c>
      <c r="K638" s="11" t="str">
        <f>HYPERLINK("https://www.geoportal.ch/ktsg/map/34?y=2713995&amp;x=1232225&amp;scale=2500&amp;topic=coord&amp;highlight=1&amp;label=Standort|Feuerverbotsplakat","Karte")</f>
        <v>Karte</v>
      </c>
    </row>
    <row r="639" spans="1:11" x14ac:dyDescent="0.2">
      <c r="A639" s="1" t="s">
        <v>421</v>
      </c>
      <c r="B639" s="1" t="s">
        <v>4</v>
      </c>
      <c r="C639" s="1" t="s">
        <v>2</v>
      </c>
      <c r="D639" s="2">
        <v>4145</v>
      </c>
      <c r="E639" s="1" t="s">
        <v>119</v>
      </c>
      <c r="F639" s="4">
        <v>2714755</v>
      </c>
      <c r="G639" s="4">
        <v>1232620</v>
      </c>
      <c r="H639" s="2">
        <v>0</v>
      </c>
      <c r="I639" s="5">
        <v>1</v>
      </c>
      <c r="J639" s="5">
        <v>0</v>
      </c>
      <c r="K639" s="11" t="str">
        <f>HYPERLINK("https://www.geoportal.ch/ktsg/map/34?y=2714755&amp;x=1232620&amp;scale=2500&amp;topic=coord&amp;highlight=1&amp;label=Standort|Feuerverbotsplakat","Karte")</f>
        <v>Karte</v>
      </c>
    </row>
    <row r="640" spans="1:11" x14ac:dyDescent="0.2">
      <c r="A640" s="1" t="s">
        <v>421</v>
      </c>
      <c r="B640" s="1" t="s">
        <v>4</v>
      </c>
      <c r="C640" s="1" t="s">
        <v>2</v>
      </c>
      <c r="D640" s="2">
        <v>4146</v>
      </c>
      <c r="E640" s="1" t="s">
        <v>118</v>
      </c>
      <c r="F640" s="4">
        <v>2714595</v>
      </c>
      <c r="G640" s="4">
        <v>1232350</v>
      </c>
      <c r="H640" s="2">
        <v>0</v>
      </c>
      <c r="I640" s="5">
        <v>1</v>
      </c>
      <c r="J640" s="5">
        <v>0</v>
      </c>
      <c r="K640" s="11" t="str">
        <f>HYPERLINK("https://www.geoportal.ch/ktsg/map/34?y=2714595&amp;x=1232350&amp;scale=2500&amp;topic=coord&amp;highlight=1&amp;label=Standort|Feuerverbotsplakat","Karte")</f>
        <v>Karte</v>
      </c>
    </row>
    <row r="641" spans="1:11" x14ac:dyDescent="0.2">
      <c r="A641" s="1" t="s">
        <v>421</v>
      </c>
      <c r="B641" s="1" t="s">
        <v>4</v>
      </c>
      <c r="C641" s="1" t="s">
        <v>2</v>
      </c>
      <c r="D641" s="2">
        <v>4147</v>
      </c>
      <c r="E641" s="1" t="s">
        <v>117</v>
      </c>
      <c r="F641" s="4">
        <v>2714660</v>
      </c>
      <c r="G641" s="4">
        <v>1231230</v>
      </c>
      <c r="H641" s="2">
        <v>0</v>
      </c>
      <c r="I641" s="5">
        <v>1</v>
      </c>
      <c r="J641" s="5">
        <v>0</v>
      </c>
      <c r="K641" s="11" t="str">
        <f>HYPERLINK("https://www.geoportal.ch/ktsg/map/34?y=2714660&amp;x=1231230&amp;scale=2500&amp;topic=coord&amp;highlight=1&amp;label=Standort|Feuerverbotsplakat","Karte")</f>
        <v>Karte</v>
      </c>
    </row>
    <row r="642" spans="1:11" x14ac:dyDescent="0.2">
      <c r="A642" s="1" t="s">
        <v>421</v>
      </c>
      <c r="B642" s="1" t="s">
        <v>4</v>
      </c>
      <c r="C642" s="1" t="s">
        <v>2</v>
      </c>
      <c r="D642" s="2">
        <v>4148</v>
      </c>
      <c r="E642" s="1" t="s">
        <v>546</v>
      </c>
      <c r="F642" s="4">
        <v>2712498</v>
      </c>
      <c r="G642" s="4">
        <v>1231730</v>
      </c>
      <c r="H642" s="2">
        <v>0</v>
      </c>
      <c r="I642" s="5">
        <v>1</v>
      </c>
      <c r="J642" s="5">
        <v>0</v>
      </c>
      <c r="K642" s="11" t="str">
        <f>HYPERLINK("https://www.geoportal.ch/ktsg/map/34?y=2712498&amp;x=1231730&amp;scale=2500&amp;topic=coord&amp;highlight=1&amp;label=Standort|Feuerverbotsplakat","Karte")</f>
        <v>Karte</v>
      </c>
    </row>
    <row r="643" spans="1:11" x14ac:dyDescent="0.2">
      <c r="A643" s="1" t="s">
        <v>421</v>
      </c>
      <c r="B643" s="1" t="s">
        <v>4</v>
      </c>
      <c r="C643" s="1" t="s">
        <v>2</v>
      </c>
      <c r="D643" s="2">
        <v>4149</v>
      </c>
      <c r="E643" s="1" t="s">
        <v>547</v>
      </c>
      <c r="F643" s="4">
        <v>2712408</v>
      </c>
      <c r="G643" s="4">
        <v>1231927</v>
      </c>
      <c r="H643" s="2">
        <v>0</v>
      </c>
      <c r="I643" s="5">
        <v>1</v>
      </c>
      <c r="J643" s="5">
        <v>0</v>
      </c>
      <c r="K643" s="11" t="str">
        <f>HYPERLINK("https://www.geoportal.ch/ktsg/map/34?y=2712408&amp;x=1231927&amp;scale=2500&amp;topic=coord&amp;highlight=1&amp;label=Standort|Feuerverbotsplakat","Karte")</f>
        <v>Karte</v>
      </c>
    </row>
    <row r="644" spans="1:11" x14ac:dyDescent="0.2">
      <c r="A644" s="1" t="s">
        <v>421</v>
      </c>
      <c r="B644" s="1" t="s">
        <v>3</v>
      </c>
      <c r="C644" s="1" t="s">
        <v>7</v>
      </c>
      <c r="D644" s="2">
        <v>4150</v>
      </c>
      <c r="E644" s="1" t="s">
        <v>535</v>
      </c>
      <c r="F644" s="4">
        <v>2720920</v>
      </c>
      <c r="G644" s="4">
        <v>1237305</v>
      </c>
      <c r="H644" s="2">
        <v>0</v>
      </c>
      <c r="I644" s="5">
        <v>1</v>
      </c>
      <c r="J644" s="5">
        <v>0</v>
      </c>
      <c r="K644" s="11" t="str">
        <f>HYPERLINK("https://www.geoportal.ch/ktsg/map/34?y=2720920&amp;x=1237305&amp;scale=2500&amp;topic=coord&amp;highlight=1&amp;label=Standort|Feuerverbotsplakat","Karte")</f>
        <v>Karte</v>
      </c>
    </row>
    <row r="645" spans="1:11" x14ac:dyDescent="0.2">
      <c r="A645" s="1" t="s">
        <v>421</v>
      </c>
      <c r="B645" s="1" t="s">
        <v>3</v>
      </c>
      <c r="C645" s="1" t="s">
        <v>7</v>
      </c>
      <c r="D645" s="2">
        <v>4151</v>
      </c>
      <c r="E645" s="1" t="s">
        <v>130</v>
      </c>
      <c r="F645" s="4">
        <v>2720980</v>
      </c>
      <c r="G645" s="4">
        <v>1237610</v>
      </c>
      <c r="H645" s="2">
        <v>0</v>
      </c>
      <c r="I645" s="5">
        <v>1</v>
      </c>
      <c r="J645" s="5">
        <v>0</v>
      </c>
      <c r="K645" s="11" t="str">
        <f>HYPERLINK("https://www.geoportal.ch/ktsg/map/34?y=2720980&amp;x=1237610&amp;scale=2500&amp;topic=coord&amp;highlight=1&amp;label=Standort|Feuerverbotsplakat","Karte")</f>
        <v>Karte</v>
      </c>
    </row>
    <row r="646" spans="1:11" x14ac:dyDescent="0.2">
      <c r="A646" s="1" t="s">
        <v>421</v>
      </c>
      <c r="B646" s="1" t="s">
        <v>3</v>
      </c>
      <c r="C646" s="1" t="s">
        <v>7</v>
      </c>
      <c r="D646" s="2">
        <v>4152</v>
      </c>
      <c r="E646" s="1" t="s">
        <v>129</v>
      </c>
      <c r="F646" s="4">
        <v>2720850</v>
      </c>
      <c r="G646" s="4">
        <v>1237240</v>
      </c>
      <c r="H646" s="2">
        <v>0</v>
      </c>
      <c r="I646" s="5">
        <v>1</v>
      </c>
      <c r="J646" s="5">
        <v>0</v>
      </c>
      <c r="K646" s="11" t="str">
        <f>HYPERLINK("https://www.geoportal.ch/ktsg/map/34?y=2720850&amp;x=1237240&amp;scale=2500&amp;topic=coord&amp;highlight=1&amp;label=Standort|Feuerverbotsplakat","Karte")</f>
        <v>Karte</v>
      </c>
    </row>
    <row r="647" spans="1:11" x14ac:dyDescent="0.2">
      <c r="A647" s="1" t="s">
        <v>421</v>
      </c>
      <c r="B647" s="1" t="s">
        <v>3</v>
      </c>
      <c r="C647" s="1" t="s">
        <v>6</v>
      </c>
      <c r="D647" s="2">
        <v>4153</v>
      </c>
      <c r="E647" s="1" t="s">
        <v>536</v>
      </c>
      <c r="F647" s="4">
        <v>2717830</v>
      </c>
      <c r="G647" s="4">
        <v>1238245</v>
      </c>
      <c r="H647" s="2">
        <v>0</v>
      </c>
      <c r="I647" s="5">
        <v>1</v>
      </c>
      <c r="J647" s="5">
        <v>0</v>
      </c>
      <c r="K647" s="11" t="str">
        <f>HYPERLINK("https://www.geoportal.ch/ktsg/map/34?y=2717830&amp;x=1238245&amp;scale=2500&amp;topic=coord&amp;highlight=1&amp;label=Standort|Feuerverbotsplakat","Karte")</f>
        <v>Karte</v>
      </c>
    </row>
    <row r="648" spans="1:11" x14ac:dyDescent="0.2">
      <c r="A648" s="1" t="s">
        <v>421</v>
      </c>
      <c r="B648" s="1" t="s">
        <v>3</v>
      </c>
      <c r="C648" s="1" t="s">
        <v>6</v>
      </c>
      <c r="D648" s="2">
        <v>4154</v>
      </c>
      <c r="E648" s="1" t="s">
        <v>859</v>
      </c>
      <c r="F648" s="4">
        <v>2718945</v>
      </c>
      <c r="G648" s="4">
        <v>1237700</v>
      </c>
      <c r="H648" s="2">
        <v>0</v>
      </c>
      <c r="I648" s="5">
        <v>1</v>
      </c>
      <c r="J648" s="5">
        <v>0</v>
      </c>
      <c r="K648" s="11" t="str">
        <f>HYPERLINK("https://www.geoportal.ch/ktsg/map/34?y=2718945&amp;x=1237700&amp;scale=2500&amp;topic=coord&amp;highlight=1&amp;label=Standort|Feuerverbotsplakat","Karte")</f>
        <v>Karte</v>
      </c>
    </row>
    <row r="649" spans="1:11" x14ac:dyDescent="0.2">
      <c r="A649" s="1" t="s">
        <v>421</v>
      </c>
      <c r="B649" s="1" t="s">
        <v>3</v>
      </c>
      <c r="C649" s="1" t="s">
        <v>6</v>
      </c>
      <c r="D649" s="2">
        <v>4155</v>
      </c>
      <c r="E649" s="1" t="s">
        <v>860</v>
      </c>
      <c r="F649" s="4">
        <v>2717840</v>
      </c>
      <c r="G649" s="4">
        <v>1238445</v>
      </c>
      <c r="H649" s="2">
        <v>0</v>
      </c>
      <c r="I649" s="5">
        <v>1</v>
      </c>
      <c r="J649" s="5">
        <v>0</v>
      </c>
      <c r="K649" s="11" t="str">
        <f>HYPERLINK("https://www.geoportal.ch/ktsg/map/34?y=2717840&amp;x=1238445&amp;scale=2500&amp;topic=coord&amp;highlight=1&amp;label=Standort|Feuerverbotsplakat","Karte")</f>
        <v>Karte</v>
      </c>
    </row>
    <row r="650" spans="1:11" x14ac:dyDescent="0.2">
      <c r="A650" s="1" t="s">
        <v>421</v>
      </c>
      <c r="B650" s="1" t="s">
        <v>3</v>
      </c>
      <c r="C650" s="1" t="s">
        <v>9</v>
      </c>
      <c r="D650" s="2">
        <v>4156</v>
      </c>
      <c r="E650" s="1" t="s">
        <v>861</v>
      </c>
      <c r="F650" s="4">
        <v>2719045</v>
      </c>
      <c r="G650" s="4">
        <v>1238635</v>
      </c>
      <c r="H650" s="2">
        <v>0</v>
      </c>
      <c r="I650" s="5">
        <v>1</v>
      </c>
      <c r="J650" s="5">
        <v>0</v>
      </c>
      <c r="K650" s="11" t="str">
        <f>HYPERLINK("https://www.geoportal.ch/ktsg/map/34?y=2719045&amp;x=1238635&amp;scale=2500&amp;topic=coord&amp;highlight=1&amp;label=Standort|Feuerverbotsplakat","Karte")</f>
        <v>Karte</v>
      </c>
    </row>
    <row r="651" spans="1:11" x14ac:dyDescent="0.2">
      <c r="A651" s="1" t="s">
        <v>421</v>
      </c>
      <c r="B651" s="1" t="s">
        <v>3</v>
      </c>
      <c r="C651" s="1" t="s">
        <v>9</v>
      </c>
      <c r="D651" s="2">
        <v>4157</v>
      </c>
      <c r="E651" s="1" t="s">
        <v>686</v>
      </c>
      <c r="F651" s="4">
        <v>2720235</v>
      </c>
      <c r="G651" s="4">
        <v>1237045</v>
      </c>
      <c r="H651" s="2">
        <v>0</v>
      </c>
      <c r="I651" s="5">
        <v>1</v>
      </c>
      <c r="J651" s="5">
        <v>0</v>
      </c>
      <c r="K651" s="11" t="str">
        <f>HYPERLINK("https://www.geoportal.ch/ktsg/map/34?y=2720235&amp;x=1237045&amp;scale=2500&amp;topic=coord&amp;highlight=1&amp;label=Standort|Feuerverbotsplakat","Karte")</f>
        <v>Karte</v>
      </c>
    </row>
    <row r="652" spans="1:11" x14ac:dyDescent="0.2">
      <c r="A652" s="1" t="s">
        <v>421</v>
      </c>
      <c r="B652" s="1" t="s">
        <v>3</v>
      </c>
      <c r="C652" s="1" t="s">
        <v>9</v>
      </c>
      <c r="D652" s="2">
        <v>4158</v>
      </c>
      <c r="E652" s="1" t="s">
        <v>687</v>
      </c>
      <c r="F652" s="4">
        <v>2717780</v>
      </c>
      <c r="G652" s="4">
        <v>1238160</v>
      </c>
      <c r="H652" s="2">
        <v>0</v>
      </c>
      <c r="I652" s="5">
        <v>1</v>
      </c>
      <c r="J652" s="5">
        <v>0</v>
      </c>
      <c r="K652" s="11" t="str">
        <f>HYPERLINK("https://www.geoportal.ch/ktsg/map/34?y=2717780&amp;x=1238160&amp;scale=2500&amp;topic=coord&amp;highlight=1&amp;label=Standort|Feuerverbotsplakat","Karte")</f>
        <v>Karte</v>
      </c>
    </row>
    <row r="653" spans="1:11" x14ac:dyDescent="0.2">
      <c r="A653" s="1" t="s">
        <v>421</v>
      </c>
      <c r="B653" s="1" t="s">
        <v>3</v>
      </c>
      <c r="C653" s="1" t="s">
        <v>9</v>
      </c>
      <c r="D653" s="2">
        <v>4159</v>
      </c>
      <c r="E653" s="1" t="s">
        <v>537</v>
      </c>
      <c r="F653" s="4">
        <v>2720940</v>
      </c>
      <c r="G653" s="4">
        <v>1236645</v>
      </c>
      <c r="H653" s="2">
        <v>0</v>
      </c>
      <c r="I653" s="5">
        <v>1</v>
      </c>
      <c r="J653" s="5">
        <v>0</v>
      </c>
      <c r="K653" s="11" t="str">
        <f>HYPERLINK("https://www.geoportal.ch/ktsg/map/34?y=2720940&amp;x=1236645&amp;scale=2500&amp;topic=coord&amp;highlight=1&amp;label=Standort|Feuerverbotsplakat","Karte")</f>
        <v>Karte</v>
      </c>
    </row>
    <row r="654" spans="1:11" x14ac:dyDescent="0.2">
      <c r="A654" s="1" t="s">
        <v>421</v>
      </c>
      <c r="B654" s="1" t="s">
        <v>18</v>
      </c>
      <c r="C654" s="1" t="s">
        <v>15</v>
      </c>
      <c r="D654" s="2">
        <v>4160</v>
      </c>
      <c r="E654" s="1" t="s">
        <v>862</v>
      </c>
      <c r="F654" s="4">
        <v>2716565</v>
      </c>
      <c r="G654" s="4">
        <v>1233114</v>
      </c>
      <c r="H654" s="2">
        <v>0</v>
      </c>
      <c r="I654" s="5">
        <v>1</v>
      </c>
      <c r="J654" s="5">
        <v>0</v>
      </c>
      <c r="K654" s="11" t="str">
        <f>HYPERLINK("https://www.geoportal.ch/ktsg/map/34?y=2716565&amp;x=1233114&amp;scale=2500&amp;topic=coord&amp;highlight=1&amp;label=Standort|Feuerverbotsplakat","Karte")</f>
        <v>Karte</v>
      </c>
    </row>
    <row r="655" spans="1:11" x14ac:dyDescent="0.2">
      <c r="A655" s="1" t="s">
        <v>421</v>
      </c>
      <c r="B655" s="1" t="s">
        <v>18</v>
      </c>
      <c r="C655" s="1" t="s">
        <v>15</v>
      </c>
      <c r="D655" s="2">
        <v>4161</v>
      </c>
      <c r="E655" s="1" t="s">
        <v>863</v>
      </c>
      <c r="F655" s="4">
        <v>2716174</v>
      </c>
      <c r="G655" s="4">
        <v>1233028</v>
      </c>
      <c r="H655" s="2">
        <v>0</v>
      </c>
      <c r="I655" s="5">
        <v>1</v>
      </c>
      <c r="J655" s="5">
        <v>0</v>
      </c>
      <c r="K655" s="11" t="str">
        <f>HYPERLINK("https://www.geoportal.ch/ktsg/map/34?y=2716174&amp;x=1233028&amp;scale=2500&amp;topic=coord&amp;highlight=1&amp;label=Standort|Feuerverbotsplakat","Karte")</f>
        <v>Karte</v>
      </c>
    </row>
    <row r="656" spans="1:11" x14ac:dyDescent="0.2">
      <c r="A656" s="1" t="s">
        <v>421</v>
      </c>
      <c r="B656" s="1" t="s">
        <v>18</v>
      </c>
      <c r="C656" s="1" t="s">
        <v>15</v>
      </c>
      <c r="D656" s="2">
        <v>4162</v>
      </c>
      <c r="E656" s="1" t="s">
        <v>864</v>
      </c>
      <c r="F656" s="4">
        <v>2715703</v>
      </c>
      <c r="G656" s="4">
        <v>1232683</v>
      </c>
      <c r="H656" s="2">
        <v>0</v>
      </c>
      <c r="I656" s="5">
        <v>1</v>
      </c>
      <c r="J656" s="5">
        <v>0</v>
      </c>
      <c r="K656" s="11" t="str">
        <f>HYPERLINK("https://www.geoportal.ch/ktsg/map/34?y=2715703&amp;x=1232683&amp;scale=2500&amp;topic=coord&amp;highlight=1&amp;label=Standort|Feuerverbotsplakat","Karte")</f>
        <v>Karte</v>
      </c>
    </row>
    <row r="657" spans="1:11" x14ac:dyDescent="0.2">
      <c r="A657" s="1" t="s">
        <v>421</v>
      </c>
      <c r="B657" s="1" t="s">
        <v>18</v>
      </c>
      <c r="C657" s="1" t="s">
        <v>15</v>
      </c>
      <c r="D657" s="2">
        <v>4163</v>
      </c>
      <c r="E657" s="1" t="s">
        <v>865</v>
      </c>
      <c r="F657" s="4">
        <v>2715703</v>
      </c>
      <c r="G657" s="4">
        <v>1232443</v>
      </c>
      <c r="H657" s="2">
        <v>0</v>
      </c>
      <c r="I657" s="5">
        <v>1</v>
      </c>
      <c r="J657" s="5">
        <v>0</v>
      </c>
      <c r="K657" s="11" t="str">
        <f>HYPERLINK("https://www.geoportal.ch/ktsg/map/34?y=2715703&amp;x=1232443&amp;scale=2500&amp;topic=coord&amp;highlight=1&amp;label=Standort|Feuerverbotsplakat","Karte")</f>
        <v>Karte</v>
      </c>
    </row>
    <row r="658" spans="1:11" x14ac:dyDescent="0.2">
      <c r="A658" s="1" t="s">
        <v>421</v>
      </c>
      <c r="B658" s="1" t="s">
        <v>18</v>
      </c>
      <c r="C658" s="1" t="s">
        <v>15</v>
      </c>
      <c r="D658" s="2">
        <v>4164</v>
      </c>
      <c r="E658" s="1" t="s">
        <v>866</v>
      </c>
      <c r="F658" s="4">
        <v>2716688</v>
      </c>
      <c r="G658" s="4">
        <v>1232837</v>
      </c>
      <c r="H658" s="2">
        <v>0</v>
      </c>
      <c r="I658" s="5">
        <v>1</v>
      </c>
      <c r="J658" s="5">
        <v>0</v>
      </c>
      <c r="K658" s="11" t="str">
        <f>HYPERLINK("https://www.geoportal.ch/ktsg/map/34?y=2716688&amp;x=1232837&amp;scale=2500&amp;topic=coord&amp;highlight=1&amp;label=Standort|Feuerverbotsplakat","Karte")</f>
        <v>Karte</v>
      </c>
    </row>
    <row r="659" spans="1:11" x14ac:dyDescent="0.2">
      <c r="A659" s="1" t="s">
        <v>421</v>
      </c>
      <c r="B659" s="1" t="s">
        <v>18</v>
      </c>
      <c r="C659" s="1" t="s">
        <v>9</v>
      </c>
      <c r="D659" s="2">
        <v>4165</v>
      </c>
      <c r="E659" s="1" t="s">
        <v>867</v>
      </c>
      <c r="F659" s="4">
        <v>2717673</v>
      </c>
      <c r="G659" s="4">
        <v>1232016</v>
      </c>
      <c r="H659" s="2">
        <v>0</v>
      </c>
      <c r="I659" s="5">
        <v>1</v>
      </c>
      <c r="J659" s="5">
        <v>0</v>
      </c>
      <c r="K659" s="11" t="str">
        <f>HYPERLINK("https://www.geoportal.ch/ktsg/map/34?y=2717673&amp;x=1232016&amp;scale=2500&amp;topic=coord&amp;highlight=1&amp;label=Standort|Feuerverbotsplakat","Karte")</f>
        <v>Karte</v>
      </c>
    </row>
    <row r="660" spans="1:11" x14ac:dyDescent="0.2">
      <c r="A660" s="1" t="s">
        <v>421</v>
      </c>
      <c r="B660" s="1" t="s">
        <v>18</v>
      </c>
      <c r="C660" s="1" t="s">
        <v>9</v>
      </c>
      <c r="D660" s="2">
        <v>4166</v>
      </c>
      <c r="E660" s="1" t="s">
        <v>870</v>
      </c>
      <c r="F660" s="4">
        <v>2717078</v>
      </c>
      <c r="G660" s="4">
        <v>1232015</v>
      </c>
      <c r="H660" s="2">
        <v>0</v>
      </c>
      <c r="I660" s="5">
        <v>1</v>
      </c>
      <c r="J660" s="5">
        <v>0</v>
      </c>
      <c r="K660" s="11" t="str">
        <f>HYPERLINK("https://www.geoportal.ch/ktsg/map/34?y=2717078&amp;x=1232015&amp;scale=2500&amp;topic=coord&amp;highlight=1&amp;label=Standort|Feuerverbotsplakat","Karte")</f>
        <v>Karte</v>
      </c>
    </row>
    <row r="661" spans="1:11" x14ac:dyDescent="0.2">
      <c r="A661" s="1" t="s">
        <v>421</v>
      </c>
      <c r="B661" s="1" t="s">
        <v>18</v>
      </c>
      <c r="C661" s="1" t="s">
        <v>9</v>
      </c>
      <c r="D661" s="2">
        <v>4167</v>
      </c>
      <c r="E661" s="1" t="s">
        <v>868</v>
      </c>
      <c r="F661" s="4">
        <v>2716975</v>
      </c>
      <c r="G661" s="4">
        <v>1232151</v>
      </c>
      <c r="H661" s="2">
        <v>0</v>
      </c>
      <c r="I661" s="5">
        <v>1</v>
      </c>
      <c r="J661" s="5">
        <v>0</v>
      </c>
      <c r="K661" s="11" t="str">
        <f>HYPERLINK("https://www.geoportal.ch/ktsg/map/34?y=2716975&amp;x=1232151&amp;scale=2500&amp;topic=coord&amp;highlight=1&amp;label=Standort|Feuerverbotsplakat","Karte")</f>
        <v>Karte</v>
      </c>
    </row>
    <row r="662" spans="1:11" x14ac:dyDescent="0.2">
      <c r="A662" s="1" t="s">
        <v>421</v>
      </c>
      <c r="B662" s="1" t="s">
        <v>18</v>
      </c>
      <c r="C662" s="1" t="s">
        <v>9</v>
      </c>
      <c r="D662" s="2">
        <v>4168</v>
      </c>
      <c r="E662" s="1" t="s">
        <v>869</v>
      </c>
      <c r="F662" s="4">
        <v>2716930</v>
      </c>
      <c r="G662" s="4">
        <v>1232276</v>
      </c>
      <c r="H662" s="2">
        <v>0</v>
      </c>
      <c r="I662" s="5">
        <v>1</v>
      </c>
      <c r="J662" s="5">
        <v>0</v>
      </c>
      <c r="K662" s="11" t="str">
        <f>HYPERLINK("https://www.geoportal.ch/ktsg/map/34?y=2716930&amp;x=1232276&amp;scale=2500&amp;topic=coord&amp;highlight=1&amp;label=Standort|Feuerverbotsplakat","Karte")</f>
        <v>Karte</v>
      </c>
    </row>
    <row r="663" spans="1:11" x14ac:dyDescent="0.2">
      <c r="A663" s="1" t="s">
        <v>421</v>
      </c>
      <c r="B663" s="1" t="s">
        <v>18</v>
      </c>
      <c r="C663" s="1" t="s">
        <v>9</v>
      </c>
      <c r="D663" s="2">
        <v>4169</v>
      </c>
      <c r="E663" s="1" t="s">
        <v>871</v>
      </c>
      <c r="F663" s="4">
        <v>2716590</v>
      </c>
      <c r="G663" s="4">
        <v>1232384</v>
      </c>
      <c r="H663" s="2">
        <v>0</v>
      </c>
      <c r="I663" s="5">
        <v>1</v>
      </c>
      <c r="J663" s="5">
        <v>0</v>
      </c>
      <c r="K663" s="11" t="str">
        <f>HYPERLINK("https://www.geoportal.ch/ktsg/map/34?y=2716590&amp;x=1232384&amp;scale=2500&amp;topic=coord&amp;highlight=1&amp;label=Standort|Feuerverbotsplakat","Karte")</f>
        <v>Karte</v>
      </c>
    </row>
    <row r="664" spans="1:11" x14ac:dyDescent="0.2">
      <c r="A664" s="1" t="s">
        <v>421</v>
      </c>
      <c r="B664" s="1" t="s">
        <v>18</v>
      </c>
      <c r="C664" s="1" t="s">
        <v>9</v>
      </c>
      <c r="D664" s="2">
        <v>4170</v>
      </c>
      <c r="E664" s="1" t="s">
        <v>872</v>
      </c>
      <c r="F664" s="4">
        <v>2717121</v>
      </c>
      <c r="G664" s="4">
        <v>1232481</v>
      </c>
      <c r="H664" s="2">
        <v>0</v>
      </c>
      <c r="I664" s="5">
        <v>1</v>
      </c>
      <c r="J664" s="5">
        <v>0</v>
      </c>
      <c r="K664" s="11" t="str">
        <f>HYPERLINK("https://www.geoportal.ch/ktsg/map/34?y=2717121&amp;x=1232481&amp;scale=2500&amp;topic=coord&amp;highlight=1&amp;label=Standort|Feuerverbotsplakat","Karte")</f>
        <v>Karte</v>
      </c>
    </row>
    <row r="665" spans="1:11" x14ac:dyDescent="0.2">
      <c r="A665" s="1" t="s">
        <v>421</v>
      </c>
      <c r="B665" s="1" t="s">
        <v>18</v>
      </c>
      <c r="C665" s="1" t="s">
        <v>9</v>
      </c>
      <c r="D665" s="2">
        <v>4171</v>
      </c>
      <c r="E665" s="1" t="s">
        <v>548</v>
      </c>
      <c r="F665" s="4">
        <v>2717306</v>
      </c>
      <c r="G665" s="4">
        <v>1231649</v>
      </c>
      <c r="H665" s="2">
        <v>0</v>
      </c>
      <c r="I665" s="5">
        <v>1</v>
      </c>
      <c r="J665" s="5">
        <v>0</v>
      </c>
      <c r="K665" s="11" t="str">
        <f>HYPERLINK("https://www.geoportal.ch/ktsg/map/34?y=2717306&amp;x=1231649&amp;scale=2500&amp;topic=coord&amp;highlight=1&amp;label=Standort|Feuerverbotsplakat","Karte")</f>
        <v>Karte</v>
      </c>
    </row>
    <row r="666" spans="1:11" x14ac:dyDescent="0.2">
      <c r="A666" s="1" t="s">
        <v>421</v>
      </c>
      <c r="B666" s="1" t="s">
        <v>18</v>
      </c>
      <c r="C666" s="1" t="s">
        <v>9</v>
      </c>
      <c r="D666" s="2">
        <v>4172</v>
      </c>
      <c r="E666" s="1" t="s">
        <v>873</v>
      </c>
      <c r="F666" s="4">
        <v>2717142</v>
      </c>
      <c r="G666" s="4">
        <v>1232118</v>
      </c>
      <c r="H666" s="2">
        <v>0</v>
      </c>
      <c r="I666" s="5">
        <v>0</v>
      </c>
      <c r="J666" s="5">
        <v>1</v>
      </c>
      <c r="K666" s="11" t="str">
        <f>HYPERLINK("https://www.geoportal.ch/ktsg/map/34?y=2717142&amp;x=1232118&amp;scale=2500&amp;topic=coord&amp;highlight=1&amp;label=Standort|Feuerverbotsplakat","Karte")</f>
        <v>Karte</v>
      </c>
    </row>
    <row r="667" spans="1:11" x14ac:dyDescent="0.2">
      <c r="A667" s="1" t="s">
        <v>421</v>
      </c>
      <c r="B667" s="1" t="s">
        <v>18</v>
      </c>
      <c r="C667" s="1" t="s">
        <v>9</v>
      </c>
      <c r="D667" s="2">
        <v>4173</v>
      </c>
      <c r="E667" s="1" t="s">
        <v>549</v>
      </c>
      <c r="F667" s="4">
        <v>2716424</v>
      </c>
      <c r="G667" s="4">
        <v>1232106</v>
      </c>
      <c r="H667" s="2">
        <v>0</v>
      </c>
      <c r="I667" s="5">
        <v>1</v>
      </c>
      <c r="J667" s="5">
        <v>0</v>
      </c>
      <c r="K667" s="11" t="str">
        <f>HYPERLINK("https://www.geoportal.ch/ktsg/map/34?y=2716424&amp;x=1232106&amp;scale=2500&amp;topic=coord&amp;highlight=1&amp;label=Standort|Feuerverbotsplakat","Karte")</f>
        <v>Karte</v>
      </c>
    </row>
    <row r="668" spans="1:11" x14ac:dyDescent="0.2">
      <c r="A668" s="1" t="s">
        <v>421</v>
      </c>
      <c r="B668" s="1" t="s">
        <v>18</v>
      </c>
      <c r="C668" s="1" t="s">
        <v>9</v>
      </c>
      <c r="D668" s="2">
        <v>4174</v>
      </c>
      <c r="E668" s="1" t="s">
        <v>688</v>
      </c>
      <c r="F668" s="4">
        <v>2716108</v>
      </c>
      <c r="G668" s="4">
        <v>1230731</v>
      </c>
      <c r="H668" s="2">
        <v>0</v>
      </c>
      <c r="I668" s="5">
        <v>0</v>
      </c>
      <c r="J668" s="5">
        <v>0</v>
      </c>
      <c r="K668" s="11" t="str">
        <f>HYPERLINK("https://www.geoportal.ch/ktsg/map/34?y=2716108&amp;x=1230731&amp;scale=2500&amp;topic=coord&amp;highlight=1&amp;label=Standort|Feuerverbotsplakat","Karte")</f>
        <v>Karte</v>
      </c>
    </row>
    <row r="669" spans="1:11" x14ac:dyDescent="0.2">
      <c r="A669" s="1" t="s">
        <v>421</v>
      </c>
      <c r="B669" s="1" t="s">
        <v>18</v>
      </c>
      <c r="C669" s="1" t="s">
        <v>9</v>
      </c>
      <c r="D669" s="2">
        <v>4175</v>
      </c>
      <c r="E669" s="1" t="s">
        <v>689</v>
      </c>
      <c r="F669" s="4">
        <v>2716116</v>
      </c>
      <c r="G669" s="4">
        <v>1231886</v>
      </c>
      <c r="H669" s="2">
        <v>0</v>
      </c>
      <c r="I669" s="5">
        <v>0</v>
      </c>
      <c r="J669" s="5">
        <v>0</v>
      </c>
      <c r="K669" s="11" t="str">
        <f>HYPERLINK("https://www.geoportal.ch/ktsg/map/34?y=2716116&amp;x=1231886&amp;scale=2500&amp;topic=coord&amp;highlight=1&amp;label=Standort|Feuerverbotsplakat","Karte")</f>
        <v>Karte</v>
      </c>
    </row>
    <row r="670" spans="1:11" x14ac:dyDescent="0.2">
      <c r="A670" s="1" t="s">
        <v>421</v>
      </c>
      <c r="B670" s="1" t="s">
        <v>18</v>
      </c>
      <c r="C670" s="1" t="s">
        <v>9</v>
      </c>
      <c r="D670" s="2">
        <v>4176</v>
      </c>
      <c r="E670" s="1" t="s">
        <v>874</v>
      </c>
      <c r="F670" s="4">
        <v>2716731</v>
      </c>
      <c r="G670" s="4">
        <v>1231813</v>
      </c>
      <c r="H670" s="2">
        <v>0</v>
      </c>
      <c r="I670" s="5">
        <v>0</v>
      </c>
      <c r="J670" s="5">
        <v>0</v>
      </c>
      <c r="K670" s="11" t="str">
        <f>HYPERLINK("https://www.geoportal.ch/ktsg/map/34?y=2716731&amp;x=1231813&amp;scale=2500&amp;topic=coord&amp;highlight=1&amp;label=Standort|Feuerverbotsplakat","Karte")</f>
        <v>Karte</v>
      </c>
    </row>
    <row r="671" spans="1:11" x14ac:dyDescent="0.2">
      <c r="A671" s="1" t="s">
        <v>421</v>
      </c>
      <c r="B671" s="1" t="s">
        <v>18</v>
      </c>
      <c r="C671" s="1" t="s">
        <v>9</v>
      </c>
      <c r="D671" s="2">
        <v>4177</v>
      </c>
      <c r="E671" s="1" t="s">
        <v>690</v>
      </c>
      <c r="F671" s="4">
        <v>2716937</v>
      </c>
      <c r="G671" s="4">
        <v>1231450</v>
      </c>
      <c r="H671" s="2">
        <v>0</v>
      </c>
      <c r="I671" s="5">
        <v>0</v>
      </c>
      <c r="J671" s="5">
        <v>0</v>
      </c>
      <c r="K671" s="11" t="str">
        <f>HYPERLINK("https://www.geoportal.ch/ktsg/map/34?y=2716937&amp;x=1231450&amp;scale=2500&amp;topic=coord&amp;highlight=1&amp;label=Standort|Feuerverbotsplakat","Karte")</f>
        <v>Karte</v>
      </c>
    </row>
    <row r="672" spans="1:11" x14ac:dyDescent="0.2">
      <c r="A672" s="1" t="s">
        <v>421</v>
      </c>
      <c r="B672" s="1" t="s">
        <v>18</v>
      </c>
      <c r="C672" s="1" t="s">
        <v>9</v>
      </c>
      <c r="D672" s="2">
        <v>4178</v>
      </c>
      <c r="E672" s="1" t="s">
        <v>691</v>
      </c>
      <c r="F672" s="4">
        <v>2717311</v>
      </c>
      <c r="G672" s="4">
        <v>1231671</v>
      </c>
      <c r="H672" s="2">
        <v>0</v>
      </c>
      <c r="I672" s="5">
        <v>0</v>
      </c>
      <c r="J672" s="5">
        <v>0</v>
      </c>
      <c r="K672" s="11" t="str">
        <f>HYPERLINK("https://www.geoportal.ch/ktsg/map/34?y=2717311&amp;x=1231671&amp;scale=2500&amp;topic=coord&amp;highlight=1&amp;label=Standort|Feuerverbotsplakat","Karte")</f>
        <v>Karte</v>
      </c>
    </row>
    <row r="673" spans="1:11" x14ac:dyDescent="0.2">
      <c r="A673" s="1" t="s">
        <v>421</v>
      </c>
      <c r="B673" s="1" t="s">
        <v>20</v>
      </c>
      <c r="C673" s="1" t="s">
        <v>9</v>
      </c>
      <c r="D673" s="2">
        <v>4179</v>
      </c>
      <c r="E673" s="1" t="s">
        <v>692</v>
      </c>
      <c r="F673" s="4">
        <v>2726200</v>
      </c>
      <c r="G673" s="4">
        <v>1222170</v>
      </c>
      <c r="H673" s="2">
        <v>0</v>
      </c>
      <c r="I673" s="5">
        <v>0</v>
      </c>
      <c r="J673" s="5">
        <v>0</v>
      </c>
      <c r="K673" s="11" t="str">
        <f>HYPERLINK("https://www.geoportal.ch/ktsg/map/34?y=2726200&amp;x=1222170&amp;scale=2500&amp;topic=coord&amp;highlight=1&amp;label=Standort|Feuerverbotsplakat","Karte")</f>
        <v>Karte</v>
      </c>
    </row>
    <row r="674" spans="1:11" x14ac:dyDescent="0.2">
      <c r="A674" s="1" t="s">
        <v>421</v>
      </c>
      <c r="B674" s="1" t="s">
        <v>20</v>
      </c>
      <c r="C674" s="1" t="s">
        <v>9</v>
      </c>
      <c r="D674" s="2">
        <v>4180</v>
      </c>
      <c r="E674" s="1" t="s">
        <v>693</v>
      </c>
      <c r="F674" s="4">
        <v>2726500</v>
      </c>
      <c r="G674" s="4">
        <v>1222350</v>
      </c>
      <c r="H674" s="2">
        <v>0</v>
      </c>
      <c r="I674" s="5">
        <v>1</v>
      </c>
      <c r="J674" s="5">
        <v>0</v>
      </c>
      <c r="K674" s="11" t="str">
        <f>HYPERLINK("https://www.geoportal.ch/ktsg/map/34?y=2726500&amp;x=1222350&amp;scale=2500&amp;topic=coord&amp;highlight=1&amp;label=Standort|Feuerverbotsplakat","Karte")</f>
        <v>Karte</v>
      </c>
    </row>
    <row r="675" spans="1:11" x14ac:dyDescent="0.2">
      <c r="A675" s="1" t="s">
        <v>421</v>
      </c>
      <c r="B675" s="1" t="s">
        <v>20</v>
      </c>
      <c r="C675" s="1" t="s">
        <v>9</v>
      </c>
      <c r="D675" s="2">
        <v>4181</v>
      </c>
      <c r="E675" s="1" t="s">
        <v>191</v>
      </c>
      <c r="F675" s="4">
        <v>2726400</v>
      </c>
      <c r="G675" s="4">
        <v>1223100</v>
      </c>
      <c r="H675" s="2">
        <v>0</v>
      </c>
      <c r="I675" s="5">
        <v>1</v>
      </c>
      <c r="J675" s="5">
        <v>0</v>
      </c>
      <c r="K675" s="11" t="str">
        <f>HYPERLINK("https://www.geoportal.ch/ktsg/map/34?y=2726400&amp;x=1223100&amp;scale=2500&amp;topic=coord&amp;highlight=1&amp;label=Standort|Feuerverbotsplakat","Karte")</f>
        <v>Karte</v>
      </c>
    </row>
    <row r="676" spans="1:11" x14ac:dyDescent="0.2">
      <c r="A676" s="1" t="s">
        <v>421</v>
      </c>
      <c r="B676" s="1" t="s">
        <v>20</v>
      </c>
      <c r="C676" s="1" t="s">
        <v>9</v>
      </c>
      <c r="D676" s="2">
        <v>4182</v>
      </c>
      <c r="E676" s="1" t="s">
        <v>190</v>
      </c>
      <c r="F676" s="4">
        <v>2725500</v>
      </c>
      <c r="G676" s="4">
        <v>1221560</v>
      </c>
      <c r="H676" s="2">
        <v>0</v>
      </c>
      <c r="I676" s="5">
        <v>1</v>
      </c>
      <c r="J676" s="5">
        <v>0</v>
      </c>
      <c r="K676" s="11" t="str">
        <f>HYPERLINK("https://www.geoportal.ch/ktsg/map/34?y=2725500&amp;x=1221560&amp;scale=2500&amp;topic=coord&amp;highlight=1&amp;label=Standort|Feuerverbotsplakat","Karte")</f>
        <v>Karte</v>
      </c>
    </row>
    <row r="677" spans="1:11" x14ac:dyDescent="0.2">
      <c r="A677" s="1" t="s">
        <v>421</v>
      </c>
      <c r="B677" s="1" t="s">
        <v>20</v>
      </c>
      <c r="C677" s="1" t="s">
        <v>9</v>
      </c>
      <c r="D677" s="2">
        <v>4183</v>
      </c>
      <c r="E677" s="1" t="s">
        <v>189</v>
      </c>
      <c r="F677" s="4">
        <v>2725580</v>
      </c>
      <c r="G677" s="4">
        <v>1221250</v>
      </c>
      <c r="H677" s="2">
        <v>0</v>
      </c>
      <c r="I677" s="5">
        <v>1</v>
      </c>
      <c r="J677" s="5">
        <v>0</v>
      </c>
      <c r="K677" s="11" t="str">
        <f>HYPERLINK("https://www.geoportal.ch/ktsg/map/34?y=2725580&amp;x=1221250&amp;scale=2500&amp;topic=coord&amp;highlight=1&amp;label=Standort|Feuerverbotsplakat","Karte")</f>
        <v>Karte</v>
      </c>
    </row>
    <row r="678" spans="1:11" x14ac:dyDescent="0.2">
      <c r="A678" s="1" t="s">
        <v>421</v>
      </c>
      <c r="B678" s="1" t="s">
        <v>20</v>
      </c>
      <c r="C678" s="1" t="s">
        <v>9</v>
      </c>
      <c r="D678" s="2">
        <v>4184</v>
      </c>
      <c r="E678" s="1" t="s">
        <v>188</v>
      </c>
      <c r="F678" s="4">
        <v>2725900</v>
      </c>
      <c r="G678" s="4">
        <v>1221750</v>
      </c>
      <c r="H678" s="2">
        <v>0</v>
      </c>
      <c r="I678" s="5">
        <v>1</v>
      </c>
      <c r="J678" s="5">
        <v>0</v>
      </c>
      <c r="K678" s="11" t="str">
        <f>HYPERLINK("https://www.geoportal.ch/ktsg/map/34?y=2725900&amp;x=1221750&amp;scale=2500&amp;topic=coord&amp;highlight=1&amp;label=Standort|Feuerverbotsplakat","Karte")</f>
        <v>Karte</v>
      </c>
    </row>
    <row r="679" spans="1:11" x14ac:dyDescent="0.2">
      <c r="A679" s="1" t="s">
        <v>421</v>
      </c>
      <c r="B679" s="1" t="s">
        <v>20</v>
      </c>
      <c r="C679" s="1" t="s">
        <v>9</v>
      </c>
      <c r="D679" s="2">
        <v>4185</v>
      </c>
      <c r="E679" s="1" t="s">
        <v>187</v>
      </c>
      <c r="F679" s="4">
        <v>2725950</v>
      </c>
      <c r="G679" s="4">
        <v>1221800</v>
      </c>
      <c r="H679" s="2">
        <v>0</v>
      </c>
      <c r="I679" s="5">
        <v>1</v>
      </c>
      <c r="J679" s="5">
        <v>0</v>
      </c>
      <c r="K679" s="11" t="str">
        <f>HYPERLINK("https://www.geoportal.ch/ktsg/map/34?y=2725950&amp;x=1221800&amp;scale=2500&amp;topic=coord&amp;highlight=1&amp;label=Standort|Feuerverbotsplakat","Karte")</f>
        <v>Karte</v>
      </c>
    </row>
    <row r="680" spans="1:11" x14ac:dyDescent="0.2">
      <c r="A680" s="1" t="s">
        <v>421</v>
      </c>
      <c r="B680" s="1" t="s">
        <v>17</v>
      </c>
      <c r="C680" s="1" t="s">
        <v>9</v>
      </c>
      <c r="D680" s="2">
        <v>4186</v>
      </c>
      <c r="E680" s="1" t="s">
        <v>926</v>
      </c>
      <c r="F680" s="4">
        <v>2723881</v>
      </c>
      <c r="G680" s="4">
        <v>1226755</v>
      </c>
      <c r="H680" s="2">
        <v>0</v>
      </c>
      <c r="I680" s="5">
        <v>1</v>
      </c>
      <c r="J680" s="5">
        <v>0</v>
      </c>
      <c r="K680" s="11" t="str">
        <f>HYPERLINK("https://www.geoportal.ch/ktsg/map/34?y=2723881&amp;x=1226755&amp;scale=2500&amp;topic=coord&amp;highlight=1&amp;label=Standort|Feuerverbotsplakat","Karte")</f>
        <v>Karte</v>
      </c>
    </row>
    <row r="681" spans="1:11" x14ac:dyDescent="0.2">
      <c r="A681" s="1" t="s">
        <v>421</v>
      </c>
      <c r="B681" s="1" t="s">
        <v>17</v>
      </c>
      <c r="C681" s="1" t="s">
        <v>9</v>
      </c>
      <c r="D681" s="2">
        <v>4187</v>
      </c>
      <c r="E681" s="1" t="s">
        <v>927</v>
      </c>
      <c r="F681" s="4">
        <v>2722528</v>
      </c>
      <c r="G681" s="4">
        <v>1227277</v>
      </c>
      <c r="H681" s="2">
        <v>0</v>
      </c>
      <c r="I681" s="5">
        <v>0</v>
      </c>
      <c r="J681" s="5">
        <v>1</v>
      </c>
      <c r="K681" s="11" t="str">
        <f>HYPERLINK("https://www.geoportal.ch/ktsg/map/34?y=2722528&amp;x=1227277&amp;scale=2500&amp;topic=coord&amp;highlight=1&amp;label=Standort|Feuerverbotsplakat","Karte")</f>
        <v>Karte</v>
      </c>
    </row>
    <row r="682" spans="1:11" x14ac:dyDescent="0.2">
      <c r="A682" s="1" t="s">
        <v>421</v>
      </c>
      <c r="B682" s="1" t="s">
        <v>17</v>
      </c>
      <c r="C682" s="1" t="s">
        <v>9</v>
      </c>
      <c r="D682" s="2">
        <v>4188</v>
      </c>
      <c r="E682" s="1" t="s">
        <v>928</v>
      </c>
      <c r="F682" s="4">
        <v>2722376</v>
      </c>
      <c r="G682" s="4">
        <v>1224662</v>
      </c>
      <c r="H682" s="2">
        <v>0</v>
      </c>
      <c r="I682" s="5">
        <v>0</v>
      </c>
      <c r="J682" s="5">
        <v>1</v>
      </c>
      <c r="K682" s="11" t="str">
        <f>HYPERLINK("https://www.geoportal.ch/ktsg/map/34?y=2722376&amp;x=1224662&amp;scale=2500&amp;topic=coord&amp;highlight=1&amp;label=Standort|Feuerverbotsplakat","Karte")</f>
        <v>Karte</v>
      </c>
    </row>
    <row r="683" spans="1:11" x14ac:dyDescent="0.2">
      <c r="A683" s="1" t="s">
        <v>423</v>
      </c>
      <c r="B683" s="1" t="s">
        <v>70</v>
      </c>
      <c r="C683" s="1" t="s">
        <v>9</v>
      </c>
      <c r="D683" s="2">
        <v>5001</v>
      </c>
      <c r="E683" s="1" t="s">
        <v>738</v>
      </c>
      <c r="F683" s="4">
        <v>2722646</v>
      </c>
      <c r="G683" s="4">
        <v>1247502</v>
      </c>
      <c r="H683" s="2">
        <v>0</v>
      </c>
      <c r="I683" s="5">
        <v>1</v>
      </c>
      <c r="J683" s="5">
        <v>0</v>
      </c>
      <c r="K683" s="11" t="str">
        <f>HYPERLINK("https://www.geoportal.ch/ktsg/map/34?y=2722646&amp;x=1247502&amp;scale=2500&amp;topic=coord&amp;highlight=1&amp;label=Standort|Feuerverbotsplakat","Karte")</f>
        <v>Karte</v>
      </c>
    </row>
    <row r="684" spans="1:11" x14ac:dyDescent="0.2">
      <c r="A684" s="1" t="s">
        <v>423</v>
      </c>
      <c r="B684" s="1" t="s">
        <v>70</v>
      </c>
      <c r="C684" s="1" t="s">
        <v>9</v>
      </c>
      <c r="D684" s="2">
        <v>5002</v>
      </c>
      <c r="E684" s="1" t="s">
        <v>416</v>
      </c>
      <c r="F684" s="4">
        <v>2722881</v>
      </c>
      <c r="G684" s="4">
        <v>1247915</v>
      </c>
      <c r="H684" s="2">
        <v>0</v>
      </c>
      <c r="I684" s="5">
        <v>1</v>
      </c>
      <c r="J684" s="5">
        <v>0</v>
      </c>
      <c r="K684" s="11" t="str">
        <f>HYPERLINK("https://www.geoportal.ch/ktsg/map/34?y=2722881&amp;x=1247915&amp;scale=2500&amp;topic=coord&amp;highlight=1&amp;label=Standort|Feuerverbotsplakat","Karte")</f>
        <v>Karte</v>
      </c>
    </row>
    <row r="685" spans="1:11" x14ac:dyDescent="0.2">
      <c r="A685" s="1" t="s">
        <v>423</v>
      </c>
      <c r="B685" s="1" t="s">
        <v>67</v>
      </c>
      <c r="C685" s="1" t="s">
        <v>68</v>
      </c>
      <c r="D685" s="2">
        <v>5003</v>
      </c>
      <c r="E685" s="1" t="s">
        <v>694</v>
      </c>
      <c r="F685" s="4">
        <v>2730414</v>
      </c>
      <c r="G685" s="4">
        <v>1237666</v>
      </c>
      <c r="H685" s="2">
        <v>0</v>
      </c>
      <c r="I685" s="5">
        <v>4</v>
      </c>
      <c r="J685" s="5">
        <v>2</v>
      </c>
      <c r="K685" s="11" t="str">
        <f>HYPERLINK("https://www.geoportal.ch/ktsg/map/34?y=2730414&amp;x=1237666&amp;scale=2500&amp;topic=coord&amp;highlight=1&amp;label=Standort|Feuerverbotsplakat","Karte")</f>
        <v>Karte</v>
      </c>
    </row>
    <row r="686" spans="1:11" x14ac:dyDescent="0.2">
      <c r="A686" s="1" t="s">
        <v>423</v>
      </c>
      <c r="B686" s="1" t="s">
        <v>67</v>
      </c>
      <c r="C686" s="1" t="s">
        <v>68</v>
      </c>
      <c r="D686" s="2">
        <v>5004</v>
      </c>
      <c r="E686" s="1" t="s">
        <v>695</v>
      </c>
      <c r="F686" s="4">
        <v>2726787</v>
      </c>
      <c r="G686" s="4">
        <v>1235780</v>
      </c>
      <c r="H686" s="2">
        <v>0</v>
      </c>
      <c r="I686" s="5">
        <v>1</v>
      </c>
      <c r="J686" s="5">
        <v>0</v>
      </c>
      <c r="K686" s="11" t="str">
        <f>HYPERLINK("https://www.geoportal.ch/ktsg/map/34?y=2726787&amp;x=1235780&amp;scale=2500&amp;topic=coord&amp;highlight=1&amp;label=Standort|Feuerverbotsplakat","Karte")</f>
        <v>Karte</v>
      </c>
    </row>
    <row r="687" spans="1:11" x14ac:dyDescent="0.2">
      <c r="A687" s="1" t="s">
        <v>423</v>
      </c>
      <c r="B687" s="1" t="s">
        <v>67</v>
      </c>
      <c r="C687" s="1" t="s">
        <v>68</v>
      </c>
      <c r="D687" s="2">
        <v>5005</v>
      </c>
      <c r="E687" s="1" t="s">
        <v>696</v>
      </c>
      <c r="F687" s="4">
        <v>2724951</v>
      </c>
      <c r="G687" s="4">
        <v>1235384</v>
      </c>
      <c r="H687" s="2">
        <v>0</v>
      </c>
      <c r="I687" s="5">
        <v>1</v>
      </c>
      <c r="J687" s="5">
        <v>0</v>
      </c>
      <c r="K687" s="11" t="str">
        <f>HYPERLINK("https://www.geoportal.ch/ktsg/map/34?y=2724951&amp;x=1235384&amp;scale=2500&amp;topic=coord&amp;highlight=1&amp;label=Standort|Feuerverbotsplakat","Karte")</f>
        <v>Karte</v>
      </c>
    </row>
    <row r="688" spans="1:11" x14ac:dyDescent="0.2">
      <c r="A688" s="1" t="s">
        <v>423</v>
      </c>
      <c r="B688" s="1" t="s">
        <v>67</v>
      </c>
      <c r="C688" s="1" t="s">
        <v>68</v>
      </c>
      <c r="D688" s="2">
        <v>5006</v>
      </c>
      <c r="E688" s="1" t="s">
        <v>739</v>
      </c>
      <c r="F688" s="4">
        <v>2728750</v>
      </c>
      <c r="G688" s="4">
        <v>1231950</v>
      </c>
      <c r="H688" s="2">
        <v>0</v>
      </c>
      <c r="I688" s="2">
        <v>0</v>
      </c>
      <c r="J688" s="5">
        <v>1</v>
      </c>
      <c r="K688" s="11" t="str">
        <f>HYPERLINK("https://www.geoportal.ch/ktsg/map/34?y=2728750&amp;x=1231950&amp;scale=2500&amp;topic=coord&amp;highlight=1&amp;label=Standort|Feuerverbotsplakat","Karte")</f>
        <v>Karte</v>
      </c>
    </row>
    <row r="689" spans="1:11" x14ac:dyDescent="0.2">
      <c r="A689" s="1" t="s">
        <v>423</v>
      </c>
      <c r="B689" s="1" t="s">
        <v>71</v>
      </c>
      <c r="C689" s="1" t="s">
        <v>9</v>
      </c>
      <c r="D689" s="2">
        <v>5007</v>
      </c>
      <c r="E689" s="1" t="s">
        <v>697</v>
      </c>
      <c r="F689" s="4">
        <v>2725296</v>
      </c>
      <c r="G689" s="4">
        <v>1248677</v>
      </c>
      <c r="H689" s="2">
        <v>0</v>
      </c>
      <c r="I689" s="2">
        <v>1</v>
      </c>
      <c r="J689" s="5">
        <v>0</v>
      </c>
      <c r="K689" s="11" t="str">
        <f>HYPERLINK("https://www.geoportal.ch/ktsg/map/34?y=2725296&amp;x=1248677&amp;scale=2500&amp;topic=coord&amp;highlight=1&amp;label=Standort|Feuerverbotsplakat","Karte")</f>
        <v>Karte</v>
      </c>
    </row>
    <row r="690" spans="1:11" x14ac:dyDescent="0.2">
      <c r="A690" s="1" t="s">
        <v>423</v>
      </c>
      <c r="B690" s="1" t="s">
        <v>69</v>
      </c>
      <c r="C690" s="1" t="s">
        <v>9</v>
      </c>
      <c r="D690" s="2">
        <v>5008</v>
      </c>
      <c r="E690" s="1" t="s">
        <v>736</v>
      </c>
      <c r="F690" s="4">
        <v>2729709</v>
      </c>
      <c r="G690" s="4">
        <v>1238284</v>
      </c>
      <c r="H690" s="2">
        <v>0</v>
      </c>
      <c r="I690" s="2">
        <v>1</v>
      </c>
      <c r="J690" s="5">
        <v>0</v>
      </c>
      <c r="K690" s="11" t="str">
        <f>HYPERLINK("https://www.geoportal.ch/ktsg/map/34?y=2729709&amp;x=1238284&amp;scale=2500&amp;topic=coord&amp;highlight=1&amp;label=Standort|Feuerverbotsplakat","Karte")</f>
        <v>Karte</v>
      </c>
    </row>
    <row r="691" spans="1:11" x14ac:dyDescent="0.2">
      <c r="A691" s="1" t="s">
        <v>423</v>
      </c>
      <c r="B691" s="1" t="s">
        <v>69</v>
      </c>
      <c r="C691" s="1" t="s">
        <v>9</v>
      </c>
      <c r="D691" s="2">
        <v>5009</v>
      </c>
      <c r="E691" s="1" t="s">
        <v>698</v>
      </c>
      <c r="F691" s="4">
        <v>2730748</v>
      </c>
      <c r="G691" s="4">
        <v>1238965</v>
      </c>
      <c r="H691" s="2">
        <v>0</v>
      </c>
      <c r="I691" s="2">
        <v>1</v>
      </c>
      <c r="J691" s="5">
        <v>0</v>
      </c>
      <c r="K691" s="11" t="str">
        <f>HYPERLINK("https://www.geoportal.ch/ktsg/map/34?y=2730748&amp;x=1238965&amp;scale=2500&amp;topic=coord&amp;highlight=1&amp;label=Standort|Feuerverbotsplakat","Karte")</f>
        <v>Karte</v>
      </c>
    </row>
    <row r="692" spans="1:11" x14ac:dyDescent="0.2">
      <c r="A692" s="1" t="s">
        <v>423</v>
      </c>
      <c r="B692" s="1" t="s">
        <v>69</v>
      </c>
      <c r="C692" s="1" t="s">
        <v>9</v>
      </c>
      <c r="D692" s="2">
        <v>5010</v>
      </c>
      <c r="E692" s="1" t="s">
        <v>699</v>
      </c>
      <c r="F692" s="4">
        <v>2732245</v>
      </c>
      <c r="G692" s="4">
        <v>1238932</v>
      </c>
      <c r="H692" s="2">
        <v>0</v>
      </c>
      <c r="I692" s="2">
        <v>1</v>
      </c>
      <c r="J692" s="5">
        <v>0</v>
      </c>
      <c r="K692" s="11" t="str">
        <f>HYPERLINK("https://www.geoportal.ch/ktsg/map/34?y=2732245&amp;x=1238932&amp;scale=2500&amp;topic=coord&amp;highlight=1&amp;label=Standort|Feuerverbotsplakat","Karte")</f>
        <v>Karte</v>
      </c>
    </row>
    <row r="693" spans="1:11" x14ac:dyDescent="0.2">
      <c r="A693" s="1" t="s">
        <v>423</v>
      </c>
      <c r="B693" s="1" t="s">
        <v>69</v>
      </c>
      <c r="C693" s="1" t="s">
        <v>9</v>
      </c>
      <c r="D693" s="2">
        <v>5011</v>
      </c>
      <c r="E693" s="1" t="s">
        <v>700</v>
      </c>
      <c r="F693" s="4">
        <v>2733320</v>
      </c>
      <c r="G693" s="4">
        <v>1241762</v>
      </c>
      <c r="H693" s="2">
        <v>0</v>
      </c>
      <c r="I693" s="2">
        <v>1</v>
      </c>
      <c r="J693" s="5">
        <v>0</v>
      </c>
      <c r="K693" s="11" t="str">
        <f>HYPERLINK("https://www.geoportal.ch/ktsg/map/34?y=2733320&amp;x=1241762&amp;scale=2500&amp;topic=coord&amp;highlight=1&amp;label=Standort|Feuerverbotsplakat","Karte")</f>
        <v>Karte</v>
      </c>
    </row>
    <row r="694" spans="1:11" x14ac:dyDescent="0.2">
      <c r="A694" s="1" t="s">
        <v>423</v>
      </c>
      <c r="B694" s="1" t="s">
        <v>69</v>
      </c>
      <c r="C694" s="1" t="s">
        <v>9</v>
      </c>
      <c r="D694" s="2">
        <v>5012</v>
      </c>
      <c r="E694" s="1" t="s">
        <v>701</v>
      </c>
      <c r="F694" s="4">
        <v>2732331</v>
      </c>
      <c r="G694" s="4">
        <v>1240083</v>
      </c>
      <c r="H694" s="2">
        <v>0</v>
      </c>
      <c r="I694" s="2">
        <v>1</v>
      </c>
      <c r="J694" s="5">
        <v>0</v>
      </c>
      <c r="K694" s="11" t="str">
        <f>HYPERLINK("https://www.geoportal.ch/ktsg/map/34?y=2732331&amp;x=1240083&amp;scale=2500&amp;topic=coord&amp;highlight=1&amp;label=Standort|Feuerverbotsplakat","Karte")</f>
        <v>Karte</v>
      </c>
    </row>
    <row r="695" spans="1:11" x14ac:dyDescent="0.2">
      <c r="A695" s="1" t="s">
        <v>423</v>
      </c>
      <c r="B695" s="1" t="s">
        <v>64</v>
      </c>
      <c r="C695" s="1" t="s">
        <v>61</v>
      </c>
      <c r="D695" s="2">
        <v>5013</v>
      </c>
      <c r="E695" s="1" t="s">
        <v>702</v>
      </c>
      <c r="F695" s="4">
        <v>2721292</v>
      </c>
      <c r="G695" s="4">
        <v>1242279</v>
      </c>
      <c r="H695" s="2">
        <v>0</v>
      </c>
      <c r="I695" s="5">
        <v>1</v>
      </c>
      <c r="J695" s="5">
        <v>0</v>
      </c>
      <c r="K695" s="11" t="str">
        <f>HYPERLINK("https://www.geoportal.ch/ktsg/map/34?y=2721292&amp;x=1242279&amp;scale=2500&amp;topic=coord&amp;highlight=1&amp;label=Standort|Feuerverbotsplakat","Karte")</f>
        <v>Karte</v>
      </c>
    </row>
    <row r="696" spans="1:11" x14ac:dyDescent="0.2">
      <c r="A696" s="1" t="s">
        <v>423</v>
      </c>
      <c r="B696" s="1" t="s">
        <v>64</v>
      </c>
      <c r="C696" s="1" t="s">
        <v>61</v>
      </c>
      <c r="D696" s="2">
        <v>5014</v>
      </c>
      <c r="E696" s="1" t="s">
        <v>902</v>
      </c>
      <c r="F696" s="4">
        <v>2722581</v>
      </c>
      <c r="G696" s="4">
        <v>1242127</v>
      </c>
      <c r="H696" s="2">
        <v>0</v>
      </c>
      <c r="I696" s="5">
        <v>0</v>
      </c>
      <c r="J696" s="5">
        <v>1</v>
      </c>
      <c r="K696" s="11" t="str">
        <f>HYPERLINK("https://www.geoportal.ch/ktsg/map/34?y=2722581&amp;x=1242127&amp;scale=2500&amp;topic=coord&amp;highlight=1&amp;label=Standort|Feuerverbotsplakat","Karte")</f>
        <v>Karte</v>
      </c>
    </row>
    <row r="697" spans="1:11" x14ac:dyDescent="0.2">
      <c r="A697" s="1" t="s">
        <v>423</v>
      </c>
      <c r="B697" s="1" t="s">
        <v>63</v>
      </c>
      <c r="C697" s="1" t="s">
        <v>61</v>
      </c>
      <c r="D697" s="2">
        <v>5015</v>
      </c>
      <c r="E697" s="1" t="s">
        <v>515</v>
      </c>
      <c r="F697" s="4">
        <v>2725212</v>
      </c>
      <c r="G697" s="4">
        <v>1243260</v>
      </c>
      <c r="H697" s="2">
        <v>0</v>
      </c>
      <c r="I697" s="5">
        <v>1</v>
      </c>
      <c r="J697" s="5">
        <v>0</v>
      </c>
      <c r="K697" s="11" t="str">
        <f>HYPERLINK("https://www.geoportal.ch/ktsg/map/34?y=2725212&amp;x=1243260&amp;scale=2500&amp;topic=coord&amp;highlight=1&amp;label=Standort|Feuerverbotsplakat","Karte")</f>
        <v>Karte</v>
      </c>
    </row>
    <row r="698" spans="1:11" x14ac:dyDescent="0.2">
      <c r="A698" s="1" t="s">
        <v>423</v>
      </c>
      <c r="B698" s="1" t="s">
        <v>63</v>
      </c>
      <c r="C698" s="1" t="s">
        <v>61</v>
      </c>
      <c r="D698" s="2">
        <v>5016</v>
      </c>
      <c r="E698" s="1" t="s">
        <v>703</v>
      </c>
      <c r="F698" s="4">
        <v>2725400</v>
      </c>
      <c r="G698" s="4">
        <v>1242970</v>
      </c>
      <c r="H698" s="2">
        <v>0</v>
      </c>
      <c r="I698" s="5">
        <v>1</v>
      </c>
      <c r="J698" s="5">
        <v>0</v>
      </c>
      <c r="K698" s="11" t="str">
        <f>HYPERLINK("https://www.geoportal.ch/ktsg/map/34?y=2725400&amp;x=1242970&amp;scale=2500&amp;topic=coord&amp;highlight=1&amp;label=Standort|Feuerverbotsplakat","Karte")</f>
        <v>Karte</v>
      </c>
    </row>
    <row r="699" spans="1:11" x14ac:dyDescent="0.2">
      <c r="A699" s="1" t="s">
        <v>423</v>
      </c>
      <c r="B699" s="1" t="s">
        <v>63</v>
      </c>
      <c r="C699" s="1" t="s">
        <v>61</v>
      </c>
      <c r="D699" s="2">
        <v>5017</v>
      </c>
      <c r="E699" s="1" t="s">
        <v>704</v>
      </c>
      <c r="F699" s="4">
        <v>2725882</v>
      </c>
      <c r="G699" s="4">
        <v>1242790</v>
      </c>
      <c r="H699" s="2">
        <v>0</v>
      </c>
      <c r="I699" s="5">
        <v>0</v>
      </c>
      <c r="J699" s="5">
        <v>1</v>
      </c>
      <c r="K699" s="11" t="str">
        <f>HYPERLINK("https://www.geoportal.ch/ktsg/map/34?y=2725882&amp;x=1242790&amp;scale=2500&amp;topic=coord&amp;highlight=1&amp;label=Standort|Feuerverbotsplakat","Karte")</f>
        <v>Karte</v>
      </c>
    </row>
    <row r="700" spans="1:11" x14ac:dyDescent="0.2">
      <c r="A700" s="1" t="s">
        <v>423</v>
      </c>
      <c r="B700" s="1" t="s">
        <v>63</v>
      </c>
      <c r="C700" s="1" t="s">
        <v>61</v>
      </c>
      <c r="D700" s="2">
        <v>5018</v>
      </c>
      <c r="E700" s="1" t="s">
        <v>415</v>
      </c>
      <c r="F700" s="4">
        <v>2725809</v>
      </c>
      <c r="G700" s="4">
        <v>1242071</v>
      </c>
      <c r="H700" s="2">
        <v>0</v>
      </c>
      <c r="I700" s="5">
        <v>1</v>
      </c>
      <c r="J700" s="5">
        <v>0</v>
      </c>
      <c r="K700" s="11" t="str">
        <f>HYPERLINK("https://www.geoportal.ch/ktsg/map/34?y=2725809&amp;x=1242071&amp;scale=2500&amp;topic=coord&amp;highlight=1&amp;label=Standort|Feuerverbotsplakat","Karte")</f>
        <v>Karte</v>
      </c>
    </row>
    <row r="701" spans="1:11" x14ac:dyDescent="0.2">
      <c r="A701" s="1" t="s">
        <v>423</v>
      </c>
      <c r="B701" s="1" t="s">
        <v>65</v>
      </c>
      <c r="C701" s="1" t="s">
        <v>72</v>
      </c>
      <c r="D701" s="2">
        <v>5019</v>
      </c>
      <c r="E701" s="1" t="s">
        <v>740</v>
      </c>
      <c r="F701" s="4">
        <v>2720912</v>
      </c>
      <c r="G701" s="4">
        <v>1246973</v>
      </c>
      <c r="H701" s="2">
        <v>0</v>
      </c>
      <c r="I701" s="5">
        <v>1</v>
      </c>
      <c r="J701" s="5">
        <v>0</v>
      </c>
      <c r="K701" s="11" t="str">
        <f>HYPERLINK("https://www.geoportal.ch/ktsg/map/34?y=2720912&amp;x=1246973&amp;scale=2500&amp;topic=coord&amp;highlight=1&amp;label=Standort|Feuerverbotsplakat","Karte")</f>
        <v>Karte</v>
      </c>
    </row>
    <row r="702" spans="1:11" x14ac:dyDescent="0.2">
      <c r="A702" s="1" t="s">
        <v>423</v>
      </c>
      <c r="B702" s="1" t="s">
        <v>65</v>
      </c>
      <c r="C702" s="1" t="s">
        <v>72</v>
      </c>
      <c r="D702" s="2">
        <v>5020</v>
      </c>
      <c r="E702" s="1" t="s">
        <v>705</v>
      </c>
      <c r="F702" s="4">
        <v>2720185</v>
      </c>
      <c r="G702" s="4">
        <v>1246373</v>
      </c>
      <c r="H702" s="2">
        <v>0</v>
      </c>
      <c r="I702" s="5">
        <v>1</v>
      </c>
      <c r="J702" s="5">
        <v>0</v>
      </c>
      <c r="K702" s="11" t="str">
        <f>HYPERLINK("https://www.geoportal.ch/ktsg/map/34?y=2720185&amp;x=1246373&amp;scale=2500&amp;topic=coord&amp;highlight=1&amp;label=Standort|Feuerverbotsplakat","Karte")</f>
        <v>Karte</v>
      </c>
    </row>
    <row r="703" spans="1:11" x14ac:dyDescent="0.2">
      <c r="A703" s="1" t="s">
        <v>423</v>
      </c>
      <c r="B703" s="1" t="s">
        <v>65</v>
      </c>
      <c r="C703" s="1" t="s">
        <v>72</v>
      </c>
      <c r="D703" s="2">
        <v>5021</v>
      </c>
      <c r="E703" s="1" t="s">
        <v>741</v>
      </c>
      <c r="F703" s="4">
        <v>2715471</v>
      </c>
      <c r="G703" s="4">
        <v>1246900</v>
      </c>
      <c r="H703" s="2">
        <v>0</v>
      </c>
      <c r="I703" s="5">
        <v>1</v>
      </c>
      <c r="J703" s="5">
        <v>0</v>
      </c>
      <c r="K703" s="11" t="str">
        <f>HYPERLINK("https://www.geoportal.ch/ktsg/map/34?y=2715471&amp;x=1246900&amp;scale=2500&amp;topic=coord&amp;highlight=1&amp;label=Standort|Feuerverbotsplakat","Karte")</f>
        <v>Karte</v>
      </c>
    </row>
    <row r="704" spans="1:11" x14ac:dyDescent="0.2">
      <c r="A704" s="1" t="s">
        <v>423</v>
      </c>
      <c r="B704" s="1" t="s">
        <v>65</v>
      </c>
      <c r="C704" s="1" t="s">
        <v>72</v>
      </c>
      <c r="D704" s="2">
        <v>5022</v>
      </c>
      <c r="E704" s="1" t="s">
        <v>742</v>
      </c>
      <c r="F704" s="4">
        <v>2716790</v>
      </c>
      <c r="G704" s="4">
        <v>1247816</v>
      </c>
      <c r="H704" s="2">
        <v>0</v>
      </c>
      <c r="I704" s="5">
        <v>1</v>
      </c>
      <c r="J704" s="5">
        <v>0</v>
      </c>
      <c r="K704" s="11" t="str">
        <f>HYPERLINK("https://www.geoportal.ch/ktsg/map/34?y=2716790&amp;x=1247816&amp;scale=2500&amp;topic=coord&amp;highlight=1&amp;label=Standort|Feuerverbotsplakat","Karte")</f>
        <v>Karte</v>
      </c>
    </row>
    <row r="705" spans="1:11" x14ac:dyDescent="0.2">
      <c r="A705" s="1" t="s">
        <v>423</v>
      </c>
      <c r="B705" s="1" t="s">
        <v>65</v>
      </c>
      <c r="C705" s="1" t="s">
        <v>72</v>
      </c>
      <c r="D705" s="2">
        <v>5023</v>
      </c>
      <c r="E705" s="1" t="s">
        <v>743</v>
      </c>
      <c r="F705" s="4">
        <v>2719210</v>
      </c>
      <c r="G705" s="4">
        <v>1247982</v>
      </c>
      <c r="H705" s="2">
        <v>0</v>
      </c>
      <c r="I705" s="5">
        <v>1</v>
      </c>
      <c r="J705" s="5">
        <v>0</v>
      </c>
      <c r="K705" s="11" t="str">
        <f>HYPERLINK("https://www.geoportal.ch/ktsg/map/34?y=2719210&amp;x=1247982&amp;scale=2500&amp;topic=coord&amp;highlight=1&amp;label=Standort|Feuerverbotsplakat","Karte")</f>
        <v>Karte</v>
      </c>
    </row>
    <row r="706" spans="1:11" x14ac:dyDescent="0.2">
      <c r="A706" s="1" t="s">
        <v>423</v>
      </c>
      <c r="B706" s="1" t="s">
        <v>65</v>
      </c>
      <c r="C706" s="1" t="s">
        <v>72</v>
      </c>
      <c r="D706" s="2">
        <v>5024</v>
      </c>
      <c r="E706" s="1" t="s">
        <v>706</v>
      </c>
      <c r="F706" s="4">
        <v>2716484</v>
      </c>
      <c r="G706" s="4">
        <v>1245950</v>
      </c>
      <c r="H706" s="2">
        <v>0</v>
      </c>
      <c r="I706" s="5">
        <v>1</v>
      </c>
      <c r="J706" s="5">
        <v>0</v>
      </c>
      <c r="K706" s="11" t="str">
        <f>HYPERLINK("https://www.geoportal.ch/ktsg/map/34?y=2716484&amp;x=1245950&amp;scale=2500&amp;topic=coord&amp;highlight=1&amp;label=Standort|Feuerverbotsplakat","Karte")</f>
        <v>Karte</v>
      </c>
    </row>
    <row r="707" spans="1:11" x14ac:dyDescent="0.2">
      <c r="A707" s="1" t="s">
        <v>423</v>
      </c>
      <c r="B707" s="1" t="s">
        <v>65</v>
      </c>
      <c r="C707" s="1" t="s">
        <v>72</v>
      </c>
      <c r="D707" s="2">
        <v>5025</v>
      </c>
      <c r="E707" s="1" t="s">
        <v>707</v>
      </c>
      <c r="F707" s="4">
        <v>2721446</v>
      </c>
      <c r="G707" s="4">
        <v>1248333</v>
      </c>
      <c r="H707" s="2">
        <v>0</v>
      </c>
      <c r="I707" s="5">
        <v>1</v>
      </c>
      <c r="J707" s="5">
        <v>0</v>
      </c>
      <c r="K707" s="11" t="str">
        <f>HYPERLINK("https://www.geoportal.ch/ktsg/map/34?y=2721446&amp;x=1248333&amp;scale=2500&amp;topic=coord&amp;highlight=1&amp;label=Standort|Feuerverbotsplakat","Karte")</f>
        <v>Karte</v>
      </c>
    </row>
    <row r="708" spans="1:11" x14ac:dyDescent="0.2">
      <c r="A708" s="1" t="s">
        <v>423</v>
      </c>
      <c r="B708" s="1" t="s">
        <v>65</v>
      </c>
      <c r="C708" s="1" t="s">
        <v>72</v>
      </c>
      <c r="D708" s="2">
        <v>5026</v>
      </c>
      <c r="E708" s="1" t="s">
        <v>708</v>
      </c>
      <c r="F708" s="4">
        <v>2714044</v>
      </c>
      <c r="G708" s="4">
        <v>1248459</v>
      </c>
      <c r="H708" s="2">
        <v>0</v>
      </c>
      <c r="I708" s="5">
        <v>1</v>
      </c>
      <c r="J708" s="5">
        <v>0</v>
      </c>
      <c r="K708" s="11" t="str">
        <f>HYPERLINK("https://www.geoportal.ch/ktsg/map/34?y=2714044&amp;x=1248459&amp;scale=2500&amp;topic=coord&amp;highlight=1&amp;label=Standort|Feuerverbotsplakat","Karte")</f>
        <v>Karte</v>
      </c>
    </row>
    <row r="709" spans="1:11" x14ac:dyDescent="0.2">
      <c r="A709" s="1" t="s">
        <v>423</v>
      </c>
      <c r="B709" s="1" t="s">
        <v>65</v>
      </c>
      <c r="C709" s="1" t="s">
        <v>72</v>
      </c>
      <c r="D709" s="2">
        <v>5027</v>
      </c>
      <c r="E709" s="1" t="s">
        <v>709</v>
      </c>
      <c r="F709" s="4">
        <v>2714550</v>
      </c>
      <c r="G709" s="4">
        <v>1247971</v>
      </c>
      <c r="H709" s="2">
        <v>0</v>
      </c>
      <c r="I709" s="5">
        <v>1</v>
      </c>
      <c r="J709" s="5">
        <v>0</v>
      </c>
      <c r="K709" s="11" t="str">
        <f>HYPERLINK("https://www.geoportal.ch/ktsg/map/34?y=2714550&amp;x=1247971&amp;scale=2500&amp;topic=coord&amp;highlight=1&amp;label=Standort|Feuerverbotsplakat","Karte")</f>
        <v>Karte</v>
      </c>
    </row>
    <row r="710" spans="1:11" x14ac:dyDescent="0.2">
      <c r="A710" s="1" t="s">
        <v>423</v>
      </c>
      <c r="B710" s="1" t="s">
        <v>65</v>
      </c>
      <c r="C710" s="1" t="s">
        <v>72</v>
      </c>
      <c r="D710" s="2">
        <v>5028</v>
      </c>
      <c r="E710" s="1" t="s">
        <v>710</v>
      </c>
      <c r="F710" s="4">
        <v>2717689</v>
      </c>
      <c r="G710" s="4">
        <v>1248233</v>
      </c>
      <c r="H710" s="2">
        <v>0</v>
      </c>
      <c r="I710" s="5">
        <v>1</v>
      </c>
      <c r="J710" s="5">
        <v>0</v>
      </c>
      <c r="K710" s="11" t="str">
        <f>HYPERLINK("https://www.geoportal.ch/ktsg/map/34?y=2717689&amp;x=1248233&amp;scale=2500&amp;topic=coord&amp;highlight=1&amp;label=Standort|Feuerverbotsplakat","Karte")</f>
        <v>Karte</v>
      </c>
    </row>
    <row r="711" spans="1:11" x14ac:dyDescent="0.2">
      <c r="A711" s="1" t="s">
        <v>423</v>
      </c>
      <c r="B711" s="1" t="s">
        <v>65</v>
      </c>
      <c r="C711" s="1" t="s">
        <v>66</v>
      </c>
      <c r="D711" s="2">
        <v>5034</v>
      </c>
      <c r="E711" s="1" t="s">
        <v>711</v>
      </c>
      <c r="F711" s="4">
        <v>2719237</v>
      </c>
      <c r="G711" s="4">
        <v>1239810</v>
      </c>
      <c r="H711" s="2">
        <v>0</v>
      </c>
      <c r="I711" s="5">
        <v>1</v>
      </c>
      <c r="J711" s="5">
        <v>0</v>
      </c>
      <c r="K711" s="11" t="str">
        <f>HYPERLINK("https://www.geoportal.ch/ktsg/map/34?y=2719237&amp;x=1239810&amp;scale=2500&amp;topic=coord&amp;highlight=1&amp;label=Standort|Feuerverbotsplakat","Karte")</f>
        <v>Karte</v>
      </c>
    </row>
    <row r="712" spans="1:11" x14ac:dyDescent="0.2">
      <c r="A712" s="1" t="s">
        <v>423</v>
      </c>
      <c r="B712" s="1" t="s">
        <v>65</v>
      </c>
      <c r="C712" s="1" t="s">
        <v>66</v>
      </c>
      <c r="D712" s="2">
        <v>5035</v>
      </c>
      <c r="E712" s="1" t="s">
        <v>744</v>
      </c>
      <c r="F712" s="4">
        <v>2719006</v>
      </c>
      <c r="G712" s="4">
        <v>1241374</v>
      </c>
      <c r="H712" s="2">
        <v>0</v>
      </c>
      <c r="I712" s="5">
        <v>1</v>
      </c>
      <c r="J712" s="5">
        <v>0</v>
      </c>
      <c r="K712" s="11" t="str">
        <f>HYPERLINK("https://www.geoportal.ch/ktsg/map/34?y=2719006&amp;x=1241374&amp;scale=2500&amp;topic=coord&amp;highlight=1&amp;label=Standort|Feuerverbotsplakat","Karte")</f>
        <v>Karte</v>
      </c>
    </row>
    <row r="713" spans="1:11" x14ac:dyDescent="0.2">
      <c r="A713" s="1" t="s">
        <v>423</v>
      </c>
      <c r="B713" s="1" t="s">
        <v>65</v>
      </c>
      <c r="C713" s="1" t="s">
        <v>66</v>
      </c>
      <c r="D713" s="2">
        <v>5036</v>
      </c>
      <c r="E713" s="1" t="s">
        <v>904</v>
      </c>
      <c r="F713" s="4">
        <v>2718905</v>
      </c>
      <c r="G713" s="4">
        <v>1242828</v>
      </c>
      <c r="H713" s="2">
        <v>0</v>
      </c>
      <c r="I713" s="5">
        <v>1</v>
      </c>
      <c r="J713" s="5">
        <v>0</v>
      </c>
      <c r="K713" s="11" t="str">
        <f>HYPERLINK("https://www.geoportal.ch/ktsg/map/34?y=2718905&amp;x=1242828&amp;scale=2500&amp;topic=coord&amp;highlight=1&amp;label=Standort|Feuerverbotsplakat","Karte")</f>
        <v>Karte</v>
      </c>
    </row>
    <row r="714" spans="1:11" x14ac:dyDescent="0.2">
      <c r="A714" s="1" t="s">
        <v>423</v>
      </c>
      <c r="B714" s="1" t="s">
        <v>65</v>
      </c>
      <c r="C714" s="1" t="s">
        <v>66</v>
      </c>
      <c r="D714" s="2">
        <v>5037</v>
      </c>
      <c r="E714" s="1" t="s">
        <v>745</v>
      </c>
      <c r="F714" s="4">
        <v>2719693</v>
      </c>
      <c r="G714" s="4">
        <v>1243105</v>
      </c>
      <c r="H714" s="2">
        <v>0</v>
      </c>
      <c r="I714" s="5">
        <v>1</v>
      </c>
      <c r="J714" s="5">
        <v>0</v>
      </c>
      <c r="K714" s="11" t="str">
        <f>HYPERLINK("https://www.geoportal.ch/ktsg/map/34?y=2719693&amp;x=1243105&amp;scale=2500&amp;topic=coord&amp;highlight=1&amp;label=Standort|Feuerverbotsplakat","Karte")</f>
        <v>Karte</v>
      </c>
    </row>
    <row r="715" spans="1:11" x14ac:dyDescent="0.2">
      <c r="A715" s="1" t="s">
        <v>423</v>
      </c>
      <c r="B715" s="1" t="s">
        <v>65</v>
      </c>
      <c r="C715" s="1" t="s">
        <v>66</v>
      </c>
      <c r="D715" s="2">
        <v>5038</v>
      </c>
      <c r="E715" s="1" t="s">
        <v>746</v>
      </c>
      <c r="F715" s="4">
        <v>2719630</v>
      </c>
      <c r="G715" s="4">
        <v>1243545</v>
      </c>
      <c r="H715" s="2">
        <v>0</v>
      </c>
      <c r="I715" s="5">
        <v>1</v>
      </c>
      <c r="J715" s="5">
        <v>0</v>
      </c>
      <c r="K715" s="11" t="str">
        <f>HYPERLINK("https://www.geoportal.ch/ktsg/map/34?y=2719630&amp;x=1243545&amp;scale=2500&amp;topic=coord&amp;highlight=1&amp;label=Standort|Feuerverbotsplakat","Karte")</f>
        <v>Karte</v>
      </c>
    </row>
    <row r="716" spans="1:11" x14ac:dyDescent="0.2">
      <c r="A716" s="1" t="s">
        <v>423</v>
      </c>
      <c r="B716" s="1" t="s">
        <v>65</v>
      </c>
      <c r="C716" s="1" t="s">
        <v>66</v>
      </c>
      <c r="D716" s="2">
        <v>5039</v>
      </c>
      <c r="E716" s="1" t="s">
        <v>737</v>
      </c>
      <c r="F716" s="4">
        <v>2719198</v>
      </c>
      <c r="G716" s="4">
        <v>1239807</v>
      </c>
      <c r="H716" s="2">
        <v>0</v>
      </c>
      <c r="I716" s="5">
        <v>1</v>
      </c>
      <c r="J716" s="5">
        <v>0</v>
      </c>
      <c r="K716" s="11" t="str">
        <f>HYPERLINK("https://www.geoportal.ch/ktsg/map/34?y=2719198&amp;x=1239807&amp;scale=2500&amp;topic=coord&amp;highlight=1&amp;label=Standort|Feuerverbotsplakat","Karte")</f>
        <v>Karte</v>
      </c>
    </row>
    <row r="717" spans="1:11" x14ac:dyDescent="0.2">
      <c r="A717" s="1" t="s">
        <v>423</v>
      </c>
      <c r="B717" s="1" t="s">
        <v>53</v>
      </c>
      <c r="C717" s="1" t="s">
        <v>9</v>
      </c>
      <c r="D717" s="2">
        <v>5040</v>
      </c>
      <c r="E717" s="1" t="s">
        <v>712</v>
      </c>
      <c r="F717" s="4">
        <v>2731621</v>
      </c>
      <c r="G717" s="4">
        <v>1242013</v>
      </c>
      <c r="H717" s="2">
        <v>0</v>
      </c>
      <c r="I717" s="5">
        <v>1</v>
      </c>
      <c r="J717" s="5">
        <v>0</v>
      </c>
      <c r="K717" s="11" t="str">
        <f>HYPERLINK("https://www.geoportal.ch/ktsg/map/34?y=2731621&amp;x=1242013&amp;scale=2500&amp;topic=coord&amp;highlight=1&amp;label=Standort|Feuerverbotsplakat","Karte")</f>
        <v>Karte</v>
      </c>
    </row>
    <row r="718" spans="1:11" x14ac:dyDescent="0.2">
      <c r="A718" s="1" t="s">
        <v>423</v>
      </c>
      <c r="B718" s="1" t="s">
        <v>53</v>
      </c>
      <c r="C718" s="1" t="s">
        <v>9</v>
      </c>
      <c r="D718" s="2">
        <v>5041</v>
      </c>
      <c r="E718" s="1" t="s">
        <v>713</v>
      </c>
      <c r="F718" s="4">
        <v>2731765</v>
      </c>
      <c r="G718" s="4">
        <v>1241808</v>
      </c>
      <c r="H718" s="2">
        <v>0</v>
      </c>
      <c r="I718" s="5">
        <v>1</v>
      </c>
      <c r="J718" s="5">
        <v>0</v>
      </c>
      <c r="K718" s="11" t="str">
        <f>HYPERLINK("https://www.geoportal.ch/ktsg/map/34?y=2731765&amp;x=1241808&amp;scale=2500&amp;topic=coord&amp;highlight=1&amp;label=Standort|Feuerverbotsplakat","Karte")</f>
        <v>Karte</v>
      </c>
    </row>
    <row r="719" spans="1:11" x14ac:dyDescent="0.2">
      <c r="A719" s="1" t="s">
        <v>423</v>
      </c>
      <c r="B719" s="1" t="s">
        <v>53</v>
      </c>
      <c r="C719" s="1" t="s">
        <v>9</v>
      </c>
      <c r="D719" s="2">
        <v>5042</v>
      </c>
      <c r="E719" s="1" t="s">
        <v>714</v>
      </c>
      <c r="F719" s="4">
        <v>2732719</v>
      </c>
      <c r="G719" s="4">
        <v>1244828</v>
      </c>
      <c r="H719" s="2">
        <v>0</v>
      </c>
      <c r="I719" s="5">
        <v>1</v>
      </c>
      <c r="J719" s="5">
        <v>0</v>
      </c>
      <c r="K719" s="11" t="str">
        <f>HYPERLINK("https://www.geoportal.ch/ktsg/map/34?y=2732719&amp;x=1244828&amp;scale=2500&amp;topic=coord&amp;highlight=1&amp;label=Standort|Feuerverbotsplakat","Karte")</f>
        <v>Karte</v>
      </c>
    </row>
    <row r="720" spans="1:11" x14ac:dyDescent="0.2">
      <c r="A720" s="1" t="s">
        <v>423</v>
      </c>
      <c r="B720" s="1" t="s">
        <v>53</v>
      </c>
      <c r="C720" s="1" t="s">
        <v>9</v>
      </c>
      <c r="D720" s="2">
        <v>5043</v>
      </c>
      <c r="E720" s="1" t="s">
        <v>715</v>
      </c>
      <c r="F720" s="4">
        <v>2731852</v>
      </c>
      <c r="G720" s="4">
        <v>1248084</v>
      </c>
      <c r="H720" s="2">
        <v>0</v>
      </c>
      <c r="I720" s="2">
        <v>1</v>
      </c>
      <c r="J720" s="5">
        <v>0</v>
      </c>
      <c r="K720" s="11" t="str">
        <f>HYPERLINK("https://www.geoportal.ch/ktsg/map/34?y=2731852&amp;x=1248084&amp;scale=2500&amp;topic=coord&amp;highlight=1&amp;label=Standort|Feuerverbotsplakat","Karte")</f>
        <v>Karte</v>
      </c>
    </row>
    <row r="721" spans="1:11" x14ac:dyDescent="0.2">
      <c r="A721" s="1" t="s">
        <v>423</v>
      </c>
      <c r="B721" s="1" t="s">
        <v>53</v>
      </c>
      <c r="C721" s="1" t="s">
        <v>9</v>
      </c>
      <c r="D721" s="2">
        <v>5044</v>
      </c>
      <c r="E721" s="1" t="s">
        <v>716</v>
      </c>
      <c r="F721" s="4">
        <v>2731733</v>
      </c>
      <c r="G721" s="4">
        <v>1247550</v>
      </c>
      <c r="H721" s="2">
        <v>0</v>
      </c>
      <c r="I721" s="2">
        <v>1</v>
      </c>
      <c r="J721" s="5">
        <v>0</v>
      </c>
      <c r="K721" s="11" t="str">
        <f>HYPERLINK("https://www.geoportal.ch/ktsg/map/34?y=2731733&amp;x=1247550&amp;scale=2500&amp;topic=coord&amp;highlight=1&amp;label=Standort|Feuerverbotsplakat","Karte")</f>
        <v>Karte</v>
      </c>
    </row>
    <row r="722" spans="1:11" x14ac:dyDescent="0.2">
      <c r="A722" s="1" t="s">
        <v>423</v>
      </c>
      <c r="B722" s="1" t="s">
        <v>53</v>
      </c>
      <c r="C722" s="1" t="s">
        <v>9</v>
      </c>
      <c r="D722" s="2">
        <v>5045</v>
      </c>
      <c r="E722" s="1" t="s">
        <v>717</v>
      </c>
      <c r="F722" s="4">
        <v>2731565</v>
      </c>
      <c r="G722" s="4">
        <v>1247590</v>
      </c>
      <c r="H722" s="2">
        <v>0</v>
      </c>
      <c r="I722" s="2">
        <v>1</v>
      </c>
      <c r="J722" s="5">
        <v>0</v>
      </c>
      <c r="K722" s="11" t="str">
        <f>HYPERLINK("https://www.geoportal.ch/ktsg/map/34?y=2731565&amp;x=1247590&amp;scale=2500&amp;topic=coord&amp;highlight=1&amp;label=Standort|Feuerverbotsplakat","Karte")</f>
        <v>Karte</v>
      </c>
    </row>
    <row r="723" spans="1:11" x14ac:dyDescent="0.2">
      <c r="A723" s="1" t="s">
        <v>423</v>
      </c>
      <c r="B723" s="1" t="s">
        <v>53</v>
      </c>
      <c r="C723" s="1" t="s">
        <v>9</v>
      </c>
      <c r="D723" s="2">
        <v>5046</v>
      </c>
      <c r="E723" s="1" t="s">
        <v>718</v>
      </c>
      <c r="F723" s="4">
        <v>2731558</v>
      </c>
      <c r="G723" s="4">
        <v>1244515</v>
      </c>
      <c r="H723" s="2">
        <v>0</v>
      </c>
      <c r="I723" s="2">
        <v>1</v>
      </c>
      <c r="J723" s="5">
        <v>0</v>
      </c>
      <c r="K723" s="11" t="str">
        <f>HYPERLINK("https://www.geoportal.ch/ktsg/map/34?y=2731558&amp;x=1244515&amp;scale=2500&amp;topic=coord&amp;highlight=1&amp;label=Standort|Feuerverbotsplakat","Karte")</f>
        <v>Karte</v>
      </c>
    </row>
    <row r="724" spans="1:11" x14ac:dyDescent="0.2">
      <c r="A724" s="1" t="s">
        <v>423</v>
      </c>
      <c r="B724" s="1" t="s">
        <v>53</v>
      </c>
      <c r="C724" s="1" t="s">
        <v>9</v>
      </c>
      <c r="D724" s="2">
        <v>5047</v>
      </c>
      <c r="E724" s="1" t="s">
        <v>747</v>
      </c>
      <c r="F724" s="4">
        <v>2728171</v>
      </c>
      <c r="G724" s="4">
        <v>1247024</v>
      </c>
      <c r="H724" s="2">
        <v>0</v>
      </c>
      <c r="I724" s="2">
        <v>1</v>
      </c>
      <c r="J724" s="5">
        <v>0</v>
      </c>
      <c r="K724" s="11" t="str">
        <f>HYPERLINK("https://www.geoportal.ch/ktsg/map/34?y=2728171&amp;x=1247024&amp;scale=2500&amp;topic=coord&amp;highlight=1&amp;label=Standort|Feuerverbotsplakat","Karte")</f>
        <v>Karte</v>
      </c>
    </row>
    <row r="725" spans="1:11" x14ac:dyDescent="0.2">
      <c r="A725" s="1" t="s">
        <v>423</v>
      </c>
      <c r="B725" s="1" t="s">
        <v>53</v>
      </c>
      <c r="C725" s="1" t="s">
        <v>885</v>
      </c>
      <c r="D725" s="2">
        <v>5048</v>
      </c>
      <c r="E725" s="1" t="s">
        <v>748</v>
      </c>
      <c r="F725" s="4">
        <v>2728716</v>
      </c>
      <c r="G725" s="4">
        <v>1246650</v>
      </c>
      <c r="H725" s="2">
        <v>0</v>
      </c>
      <c r="I725" s="2">
        <v>1</v>
      </c>
      <c r="J725" s="5">
        <v>0</v>
      </c>
      <c r="K725" s="11" t="str">
        <f>HYPERLINK("https://www.geoportal.ch/ktsg/map/34?y=2728716&amp;x=1246650&amp;scale=2500&amp;topic=coord&amp;highlight=1&amp;label=Standort|Feuerverbotsplakat","Karte")</f>
        <v>Karte</v>
      </c>
    </row>
    <row r="726" spans="1:11" x14ac:dyDescent="0.2">
      <c r="A726" s="1" t="s">
        <v>423</v>
      </c>
      <c r="B726" s="1" t="s">
        <v>56</v>
      </c>
      <c r="C726" s="1" t="s">
        <v>57</v>
      </c>
      <c r="D726" s="2">
        <v>5049</v>
      </c>
      <c r="E726" s="1" t="s">
        <v>749</v>
      </c>
      <c r="F726" s="4">
        <v>2730983</v>
      </c>
      <c r="G726" s="4">
        <v>1234027</v>
      </c>
      <c r="H726" s="2">
        <v>0</v>
      </c>
      <c r="I726" s="2">
        <v>1</v>
      </c>
      <c r="J726" s="5">
        <v>0</v>
      </c>
      <c r="K726" s="11" t="str">
        <f>HYPERLINK("https://www.geoportal.ch/ktsg/map/34?y=2730983&amp;x=1234027&amp;scale=2500&amp;topic=coord&amp;highlight=1&amp;label=Standort|Feuerverbotsplakat","Karte")</f>
        <v>Karte</v>
      </c>
    </row>
    <row r="727" spans="1:11" x14ac:dyDescent="0.2">
      <c r="A727" s="1" t="s">
        <v>423</v>
      </c>
      <c r="B727" s="1" t="s">
        <v>56</v>
      </c>
      <c r="C727" s="1" t="s">
        <v>57</v>
      </c>
      <c r="D727" s="2">
        <v>5050</v>
      </c>
      <c r="E727" s="1" t="s">
        <v>719</v>
      </c>
      <c r="F727" s="4">
        <v>2729953</v>
      </c>
      <c r="G727" s="4">
        <v>1232006</v>
      </c>
      <c r="H727" s="2">
        <v>0</v>
      </c>
      <c r="I727" s="2">
        <v>1</v>
      </c>
      <c r="J727" s="5">
        <v>0</v>
      </c>
      <c r="K727" s="11" t="str">
        <f>HYPERLINK("https://www.geoportal.ch/ktsg/map/34?y=2729953&amp;x=1232006&amp;scale=2500&amp;topic=coord&amp;highlight=1&amp;label=Standort|Feuerverbotsplakat","Karte")</f>
        <v>Karte</v>
      </c>
    </row>
    <row r="728" spans="1:11" x14ac:dyDescent="0.2">
      <c r="A728" s="1" t="s">
        <v>423</v>
      </c>
      <c r="B728" s="1" t="s">
        <v>56</v>
      </c>
      <c r="C728" s="1" t="s">
        <v>57</v>
      </c>
      <c r="D728" s="2">
        <v>5051</v>
      </c>
      <c r="E728" s="1" t="s">
        <v>750</v>
      </c>
      <c r="F728" s="4">
        <v>2731735</v>
      </c>
      <c r="G728" s="4">
        <v>1232737</v>
      </c>
      <c r="H728" s="2">
        <v>0</v>
      </c>
      <c r="I728" s="2">
        <v>1</v>
      </c>
      <c r="J728" s="5">
        <v>0</v>
      </c>
      <c r="K728" s="11" t="str">
        <f>HYPERLINK("https://www.geoportal.ch/ktsg/map/34?y=2731735&amp;x=1232737&amp;scale=2500&amp;topic=coord&amp;highlight=1&amp;label=Standort|Feuerverbotsplakat","Karte")</f>
        <v>Karte</v>
      </c>
    </row>
    <row r="729" spans="1:11" x14ac:dyDescent="0.2">
      <c r="A729" s="1" t="s">
        <v>423</v>
      </c>
      <c r="B729" s="1" t="s">
        <v>56</v>
      </c>
      <c r="C729" s="1" t="s">
        <v>57</v>
      </c>
      <c r="D729" s="2">
        <v>5052</v>
      </c>
      <c r="E729" s="1" t="s">
        <v>875</v>
      </c>
      <c r="F729" s="4">
        <v>2732279</v>
      </c>
      <c r="G729" s="4">
        <v>1231416</v>
      </c>
      <c r="H729" s="2">
        <v>0</v>
      </c>
      <c r="I729" s="2">
        <v>1</v>
      </c>
      <c r="J729" s="5">
        <v>0</v>
      </c>
      <c r="K729" s="11" t="str">
        <f>HYPERLINK("https://www.geoportal.ch/ktsg/map/34?y=2732279&amp;x=1231416&amp;scale=2500&amp;topic=coord&amp;highlight=1&amp;label=Standort|Feuerverbotsplakat","Karte")</f>
        <v>Karte</v>
      </c>
    </row>
    <row r="730" spans="1:11" x14ac:dyDescent="0.2">
      <c r="A730" s="1" t="s">
        <v>423</v>
      </c>
      <c r="B730" s="1" t="s">
        <v>56</v>
      </c>
      <c r="C730" s="1" t="s">
        <v>57</v>
      </c>
      <c r="D730" s="2">
        <v>5053</v>
      </c>
      <c r="E730" s="1" t="s">
        <v>751</v>
      </c>
      <c r="F730" s="4">
        <v>2734149</v>
      </c>
      <c r="G730" s="4">
        <v>1229492</v>
      </c>
      <c r="H730" s="2">
        <v>0</v>
      </c>
      <c r="I730" s="2">
        <v>1</v>
      </c>
      <c r="J730" s="5">
        <v>0</v>
      </c>
      <c r="K730" s="11" t="str">
        <f>HYPERLINK("https://www.geoportal.ch/ktsg/map/34?y=2734149&amp;x=1229492&amp;scale=2500&amp;topic=coord&amp;highlight=1&amp;label=Standort|Feuerverbotsplakat","Karte")</f>
        <v>Karte</v>
      </c>
    </row>
    <row r="731" spans="1:11" x14ac:dyDescent="0.2">
      <c r="A731" s="1" t="s">
        <v>423</v>
      </c>
      <c r="B731" s="1" t="s">
        <v>56</v>
      </c>
      <c r="C731" s="1" t="s">
        <v>57</v>
      </c>
      <c r="D731" s="2">
        <v>5054</v>
      </c>
      <c r="E731" s="1" t="s">
        <v>752</v>
      </c>
      <c r="F731" s="4">
        <v>2733019</v>
      </c>
      <c r="G731" s="4">
        <v>1228626</v>
      </c>
      <c r="H731" s="2">
        <v>0</v>
      </c>
      <c r="I731" s="2">
        <v>1</v>
      </c>
      <c r="J731" s="5">
        <v>0</v>
      </c>
      <c r="K731" s="11" t="str">
        <f>HYPERLINK("https://www.geoportal.ch/ktsg/map/34?y=2733019&amp;x=1228626&amp;scale=2500&amp;topic=coord&amp;highlight=1&amp;label=Standort|Feuerverbotsplakat","Karte")</f>
        <v>Karte</v>
      </c>
    </row>
    <row r="732" spans="1:11" x14ac:dyDescent="0.2">
      <c r="A732" s="1" t="s">
        <v>423</v>
      </c>
      <c r="B732" s="1" t="s">
        <v>56</v>
      </c>
      <c r="C732" s="1" t="s">
        <v>57</v>
      </c>
      <c r="D732" s="2">
        <v>5055</v>
      </c>
      <c r="E732" s="1" t="s">
        <v>753</v>
      </c>
      <c r="F732" s="4">
        <v>2734079</v>
      </c>
      <c r="G732" s="4">
        <v>1229762</v>
      </c>
      <c r="H732" s="2">
        <v>0</v>
      </c>
      <c r="I732" s="2">
        <v>1</v>
      </c>
      <c r="J732" s="5">
        <v>0</v>
      </c>
      <c r="K732" s="11" t="str">
        <f>HYPERLINK("https://www.geoportal.ch/ktsg/map/34?y=2734079&amp;x=1229762&amp;scale=2500&amp;topic=coord&amp;highlight=1&amp;label=Standort|Feuerverbotsplakat","Karte")</f>
        <v>Karte</v>
      </c>
    </row>
    <row r="733" spans="1:11" x14ac:dyDescent="0.2">
      <c r="A733" s="1" t="s">
        <v>423</v>
      </c>
      <c r="B733" s="1" t="s">
        <v>56</v>
      </c>
      <c r="C733" s="1" t="s">
        <v>59</v>
      </c>
      <c r="D733" s="2">
        <v>5056</v>
      </c>
      <c r="E733" s="1" t="s">
        <v>754</v>
      </c>
      <c r="F733" s="4">
        <v>2734179</v>
      </c>
      <c r="G733" s="4">
        <v>1233718</v>
      </c>
      <c r="H733" s="2">
        <v>0</v>
      </c>
      <c r="I733" s="2">
        <v>1</v>
      </c>
      <c r="J733" s="5">
        <v>0</v>
      </c>
      <c r="K733" s="11" t="str">
        <f>HYPERLINK("https://www.geoportal.ch/ktsg/map/34?y=2734179&amp;x=1233718&amp;scale=2500&amp;topic=coord&amp;highlight=1&amp;label=Standort|Feuerverbotsplakat","Karte")</f>
        <v>Karte</v>
      </c>
    </row>
    <row r="734" spans="1:11" x14ac:dyDescent="0.2">
      <c r="A734" s="1" t="s">
        <v>423</v>
      </c>
      <c r="B734" s="1" t="s">
        <v>56</v>
      </c>
      <c r="C734" s="1" t="s">
        <v>59</v>
      </c>
      <c r="D734" s="2">
        <v>5057</v>
      </c>
      <c r="E734" s="1" t="s">
        <v>755</v>
      </c>
      <c r="F734" s="4">
        <v>2736082</v>
      </c>
      <c r="G734" s="4">
        <v>1234006</v>
      </c>
      <c r="H734" s="2">
        <v>0</v>
      </c>
      <c r="I734" s="2">
        <v>1</v>
      </c>
      <c r="J734" s="5">
        <v>0</v>
      </c>
      <c r="K734" s="11" t="str">
        <f>HYPERLINK("https://www.geoportal.ch/ktsg/map/34?y=2736082&amp;x=1234006&amp;scale=2500&amp;topic=coord&amp;highlight=1&amp;label=Standort|Feuerverbotsplakat","Karte")</f>
        <v>Karte</v>
      </c>
    </row>
    <row r="735" spans="1:11" x14ac:dyDescent="0.2">
      <c r="A735" s="1" t="s">
        <v>423</v>
      </c>
      <c r="B735" s="1" t="s">
        <v>56</v>
      </c>
      <c r="C735" s="1" t="s">
        <v>59</v>
      </c>
      <c r="D735" s="2">
        <v>5058</v>
      </c>
      <c r="E735" s="1" t="s">
        <v>756</v>
      </c>
      <c r="F735" s="4">
        <v>2737213</v>
      </c>
      <c r="G735" s="4">
        <v>1234356</v>
      </c>
      <c r="H735" s="2">
        <v>0</v>
      </c>
      <c r="I735" s="2">
        <v>1</v>
      </c>
      <c r="J735" s="5">
        <v>0</v>
      </c>
      <c r="K735" s="11" t="str">
        <f>HYPERLINK("https://www.geoportal.ch/ktsg/map/34?y=2737213&amp;x=1234356&amp;scale=2500&amp;topic=coord&amp;highlight=1&amp;label=Standort|Feuerverbotsplakat","Karte")</f>
        <v>Karte</v>
      </c>
    </row>
    <row r="736" spans="1:11" x14ac:dyDescent="0.2">
      <c r="A736" s="1" t="s">
        <v>423</v>
      </c>
      <c r="B736" s="1" t="s">
        <v>56</v>
      </c>
      <c r="C736" s="1" t="s">
        <v>59</v>
      </c>
      <c r="D736" s="2">
        <v>5059</v>
      </c>
      <c r="E736" s="1" t="s">
        <v>876</v>
      </c>
      <c r="F736" s="4">
        <v>2738655</v>
      </c>
      <c r="G736" s="4">
        <v>1233936</v>
      </c>
      <c r="H736" s="2">
        <v>0</v>
      </c>
      <c r="I736" s="2">
        <v>1</v>
      </c>
      <c r="J736" s="5">
        <v>0</v>
      </c>
      <c r="K736" s="11" t="str">
        <f>HYPERLINK("https://www.geoportal.ch/ktsg/map/34?y=2738655&amp;x=1233936&amp;scale=2500&amp;topic=coord&amp;highlight=1&amp;label=Standort|Feuerverbotsplakat","Karte")</f>
        <v>Karte</v>
      </c>
    </row>
    <row r="737" spans="1:11" x14ac:dyDescent="0.2">
      <c r="A737" s="1" t="s">
        <v>423</v>
      </c>
      <c r="B737" s="1" t="s">
        <v>56</v>
      </c>
      <c r="C737" s="1" t="s">
        <v>59</v>
      </c>
      <c r="D737" s="2">
        <v>5060</v>
      </c>
      <c r="E737" s="1" t="s">
        <v>757</v>
      </c>
      <c r="F737" s="4">
        <v>2739659</v>
      </c>
      <c r="G737" s="4">
        <v>1234729</v>
      </c>
      <c r="H737" s="2">
        <v>0</v>
      </c>
      <c r="I737" s="2">
        <v>1</v>
      </c>
      <c r="J737" s="5">
        <v>0</v>
      </c>
      <c r="K737" s="11" t="str">
        <f>HYPERLINK("https://www.geoportal.ch/ktsg/map/34?y=2739659&amp;x=1234729&amp;scale=2500&amp;topic=coord&amp;highlight=1&amp;label=Standort|Feuerverbotsplakat","Karte")</f>
        <v>Karte</v>
      </c>
    </row>
    <row r="738" spans="1:11" x14ac:dyDescent="0.2">
      <c r="A738" s="1" t="s">
        <v>423</v>
      </c>
      <c r="B738" s="1" t="s">
        <v>56</v>
      </c>
      <c r="C738" s="1" t="s">
        <v>59</v>
      </c>
      <c r="D738" s="2">
        <v>5061</v>
      </c>
      <c r="E738" s="1" t="s">
        <v>720</v>
      </c>
      <c r="F738" s="4">
        <v>2740593</v>
      </c>
      <c r="G738" s="4">
        <v>1234773</v>
      </c>
      <c r="H738" s="2">
        <v>0</v>
      </c>
      <c r="I738" s="2">
        <v>2</v>
      </c>
      <c r="J738" s="5">
        <v>0</v>
      </c>
      <c r="K738" s="11" t="str">
        <f>HYPERLINK("https://www.geoportal.ch/ktsg/map/34?y=2740593&amp;x=1234773&amp;scale=2500&amp;topic=coord&amp;highlight=1&amp;label=Standort|Feuerverbotsplakat","Karte")</f>
        <v>Karte</v>
      </c>
    </row>
    <row r="739" spans="1:11" x14ac:dyDescent="0.2">
      <c r="A739" s="1" t="s">
        <v>423</v>
      </c>
      <c r="B739" s="1" t="s">
        <v>56</v>
      </c>
      <c r="C739" s="1" t="s">
        <v>59</v>
      </c>
      <c r="D739" s="2">
        <v>5062</v>
      </c>
      <c r="E739" s="1" t="s">
        <v>414</v>
      </c>
      <c r="F739" s="4">
        <v>2740349</v>
      </c>
      <c r="G739" s="4">
        <v>1235193</v>
      </c>
      <c r="H739" s="2">
        <v>0</v>
      </c>
      <c r="I739" s="2">
        <v>1</v>
      </c>
      <c r="J739" s="5">
        <v>0</v>
      </c>
      <c r="K739" s="11" t="str">
        <f>HYPERLINK("https://www.geoportal.ch/ktsg/map/34?y=2740349&amp;x=1235193&amp;scale=2500&amp;topic=coord&amp;highlight=1&amp;label=Standort|Feuerverbotsplakat","Karte")</f>
        <v>Karte</v>
      </c>
    </row>
    <row r="740" spans="1:11" x14ac:dyDescent="0.2">
      <c r="A740" s="1" t="s">
        <v>423</v>
      </c>
      <c r="B740" s="1" t="s">
        <v>56</v>
      </c>
      <c r="C740" s="1" t="s">
        <v>59</v>
      </c>
      <c r="D740" s="2">
        <v>5063</v>
      </c>
      <c r="E740" s="1" t="s">
        <v>758</v>
      </c>
      <c r="F740" s="4">
        <v>2741227</v>
      </c>
      <c r="G740" s="4">
        <v>1235328</v>
      </c>
      <c r="H740" s="2">
        <v>0</v>
      </c>
      <c r="I740" s="2">
        <v>1</v>
      </c>
      <c r="J740" s="5">
        <v>0</v>
      </c>
      <c r="K740" s="11" t="str">
        <f>HYPERLINK("https://www.geoportal.ch/ktsg/map/34?y=2741227&amp;x=1235328&amp;scale=2500&amp;topic=coord&amp;highlight=1&amp;label=Standort|Feuerverbotsplakat","Karte")</f>
        <v>Karte</v>
      </c>
    </row>
    <row r="741" spans="1:11" x14ac:dyDescent="0.2">
      <c r="A741" s="1" t="s">
        <v>423</v>
      </c>
      <c r="B741" s="1" t="s">
        <v>56</v>
      </c>
      <c r="C741" s="1" t="s">
        <v>59</v>
      </c>
      <c r="D741" s="2">
        <v>5064</v>
      </c>
      <c r="E741" s="1" t="s">
        <v>877</v>
      </c>
      <c r="F741" s="4">
        <v>2741471</v>
      </c>
      <c r="G741" s="4">
        <v>1235572</v>
      </c>
      <c r="H741" s="2">
        <v>0</v>
      </c>
      <c r="I741" s="2">
        <v>1</v>
      </c>
      <c r="J741" s="5">
        <v>0</v>
      </c>
      <c r="K741" s="11" t="str">
        <f>HYPERLINK("https://www.geoportal.ch/ktsg/map/34?y=2741471&amp;x=1235572&amp;scale=2500&amp;topic=coord&amp;highlight=1&amp;label=Standort|Feuerverbotsplakat","Karte")</f>
        <v>Karte</v>
      </c>
    </row>
    <row r="742" spans="1:11" x14ac:dyDescent="0.2">
      <c r="A742" s="1" t="s">
        <v>423</v>
      </c>
      <c r="B742" s="1" t="s">
        <v>56</v>
      </c>
      <c r="C742" s="1" t="s">
        <v>59</v>
      </c>
      <c r="D742" s="2">
        <v>5065</v>
      </c>
      <c r="E742" s="1" t="s">
        <v>413</v>
      </c>
      <c r="F742" s="4">
        <v>2740385</v>
      </c>
      <c r="G742" s="4">
        <v>1235660</v>
      </c>
      <c r="H742" s="2">
        <v>0</v>
      </c>
      <c r="I742" s="2">
        <v>1</v>
      </c>
      <c r="J742" s="5">
        <v>0</v>
      </c>
      <c r="K742" s="11" t="str">
        <f>HYPERLINK("https://www.geoportal.ch/ktsg/map/34?y=2740385&amp;x=1235660&amp;scale=2500&amp;topic=coord&amp;highlight=1&amp;label=Standort|Feuerverbotsplakat","Karte")</f>
        <v>Karte</v>
      </c>
    </row>
    <row r="743" spans="1:11" x14ac:dyDescent="0.2">
      <c r="A743" s="1" t="s">
        <v>423</v>
      </c>
      <c r="B743" s="1" t="s">
        <v>56</v>
      </c>
      <c r="C743" s="1" t="s">
        <v>59</v>
      </c>
      <c r="D743" s="2">
        <v>5066</v>
      </c>
      <c r="E743" s="1" t="s">
        <v>759</v>
      </c>
      <c r="F743" s="4">
        <v>2739125</v>
      </c>
      <c r="G743" s="4">
        <v>1235246</v>
      </c>
      <c r="H743" s="2">
        <v>0</v>
      </c>
      <c r="I743" s="2">
        <v>1</v>
      </c>
      <c r="J743" s="5">
        <v>0</v>
      </c>
      <c r="K743" s="11" t="str">
        <f>HYPERLINK("https://www.geoportal.ch/ktsg/map/34?y=2739125&amp;x=1235246&amp;scale=2500&amp;topic=coord&amp;highlight=1&amp;label=Standort|Feuerverbotsplakat","Karte")</f>
        <v>Karte</v>
      </c>
    </row>
    <row r="744" spans="1:11" x14ac:dyDescent="0.2">
      <c r="A744" s="1" t="s">
        <v>423</v>
      </c>
      <c r="B744" s="1" t="s">
        <v>56</v>
      </c>
      <c r="C744" s="1" t="s">
        <v>59</v>
      </c>
      <c r="D744" s="2">
        <v>5067</v>
      </c>
      <c r="E744" s="1" t="s">
        <v>760</v>
      </c>
      <c r="F744" s="4">
        <v>2732707</v>
      </c>
      <c r="G744" s="4">
        <v>1236711</v>
      </c>
      <c r="H744" s="2">
        <v>0</v>
      </c>
      <c r="I744" s="2">
        <v>1</v>
      </c>
      <c r="J744" s="5">
        <v>0</v>
      </c>
      <c r="K744" s="11" t="str">
        <f>HYPERLINK("https://www.geoportal.ch/ktsg/map/34?y=2732707&amp;x=1236711&amp;scale=2500&amp;topic=coord&amp;highlight=1&amp;label=Standort|Feuerverbotsplakat","Karte")</f>
        <v>Karte</v>
      </c>
    </row>
    <row r="745" spans="1:11" x14ac:dyDescent="0.2">
      <c r="A745" s="1" t="s">
        <v>423</v>
      </c>
      <c r="B745" s="1" t="s">
        <v>56</v>
      </c>
      <c r="C745" s="1" t="s">
        <v>59</v>
      </c>
      <c r="D745" s="2">
        <v>5068</v>
      </c>
      <c r="E745" s="1" t="s">
        <v>878</v>
      </c>
      <c r="F745" s="4">
        <v>2733180</v>
      </c>
      <c r="G745" s="4">
        <v>1237827</v>
      </c>
      <c r="H745" s="2">
        <v>0</v>
      </c>
      <c r="I745" s="2">
        <v>1</v>
      </c>
      <c r="J745" s="5">
        <v>0</v>
      </c>
      <c r="K745" s="11" t="str">
        <f>HYPERLINK("https://www.geoportal.ch/ktsg/map/34?y=2733180&amp;x=1237827&amp;scale=2500&amp;topic=coord&amp;highlight=1&amp;label=Standort|Feuerverbotsplakat","Karte")</f>
        <v>Karte</v>
      </c>
    </row>
    <row r="746" spans="1:11" x14ac:dyDescent="0.2">
      <c r="A746" s="1" t="s">
        <v>423</v>
      </c>
      <c r="B746" s="1" t="s">
        <v>56</v>
      </c>
      <c r="C746" s="1" t="s">
        <v>59</v>
      </c>
      <c r="D746" s="2">
        <v>5069</v>
      </c>
      <c r="E746" s="1" t="s">
        <v>412</v>
      </c>
      <c r="F746" s="4">
        <v>2737498</v>
      </c>
      <c r="G746" s="4">
        <v>1236347</v>
      </c>
      <c r="H746" s="2">
        <v>0</v>
      </c>
      <c r="I746" s="2">
        <v>2</v>
      </c>
      <c r="J746" s="5">
        <v>0</v>
      </c>
      <c r="K746" s="11" t="str">
        <f>HYPERLINK("https://www.geoportal.ch/ktsg/map/34?y=2737498&amp;x=1236347&amp;scale=2500&amp;topic=coord&amp;highlight=1&amp;label=Standort|Feuerverbotsplakat","Karte")</f>
        <v>Karte</v>
      </c>
    </row>
    <row r="747" spans="1:11" x14ac:dyDescent="0.2">
      <c r="A747" s="1" t="s">
        <v>423</v>
      </c>
      <c r="B747" s="1" t="s">
        <v>56</v>
      </c>
      <c r="C747" s="1" t="s">
        <v>59</v>
      </c>
      <c r="D747" s="2">
        <v>5070</v>
      </c>
      <c r="E747" s="1" t="s">
        <v>411</v>
      </c>
      <c r="F747" s="4">
        <v>2737577</v>
      </c>
      <c r="G747" s="4">
        <v>1236279</v>
      </c>
      <c r="H747" s="2">
        <v>0</v>
      </c>
      <c r="I747" s="2">
        <v>1</v>
      </c>
      <c r="J747" s="5">
        <v>0</v>
      </c>
      <c r="K747" s="11" t="str">
        <f>HYPERLINK("https://www.geoportal.ch/ktsg/map/34?y=2737577&amp;x=1236279&amp;scale=2500&amp;topic=coord&amp;highlight=1&amp;label=Standort|Feuerverbotsplakat","Karte")</f>
        <v>Karte</v>
      </c>
    </row>
    <row r="748" spans="1:11" x14ac:dyDescent="0.2">
      <c r="A748" s="1" t="s">
        <v>423</v>
      </c>
      <c r="B748" s="1" t="s">
        <v>56</v>
      </c>
      <c r="C748" s="1" t="s">
        <v>59</v>
      </c>
      <c r="D748" s="2">
        <v>5071</v>
      </c>
      <c r="E748" s="1" t="s">
        <v>879</v>
      </c>
      <c r="F748" s="4">
        <v>2737714</v>
      </c>
      <c r="G748" s="4">
        <v>1235251</v>
      </c>
      <c r="H748" s="2">
        <v>0</v>
      </c>
      <c r="I748" s="5">
        <v>1</v>
      </c>
      <c r="J748" s="5">
        <v>0</v>
      </c>
      <c r="K748" s="11" t="str">
        <f>HYPERLINK("https://www.geoportal.ch/ktsg/map/34?y=2737714&amp;x=1235251&amp;scale=2500&amp;topic=coord&amp;highlight=1&amp;label=Standort|Feuerverbotsplakat","Karte")</f>
        <v>Karte</v>
      </c>
    </row>
    <row r="749" spans="1:11" x14ac:dyDescent="0.2">
      <c r="A749" s="1" t="s">
        <v>423</v>
      </c>
      <c r="B749" s="1" t="s">
        <v>56</v>
      </c>
      <c r="C749" s="1" t="s">
        <v>9</v>
      </c>
      <c r="D749" s="2">
        <v>5072</v>
      </c>
      <c r="E749" s="1" t="s">
        <v>761</v>
      </c>
      <c r="F749" s="4">
        <v>2732843</v>
      </c>
      <c r="G749" s="4">
        <v>1233472</v>
      </c>
      <c r="H749" s="2">
        <v>0</v>
      </c>
      <c r="I749" s="2">
        <v>1</v>
      </c>
      <c r="J749" s="5">
        <v>0</v>
      </c>
      <c r="K749" s="11" t="str">
        <f>HYPERLINK("https://www.geoportal.ch/ktsg/map/34?y=2732843&amp;x=1233472&amp;scale=2500&amp;topic=coord&amp;highlight=1&amp;label=Standort|Feuerverbotsplakat","Karte")</f>
        <v>Karte</v>
      </c>
    </row>
    <row r="750" spans="1:11" x14ac:dyDescent="0.2">
      <c r="A750" s="1" t="s">
        <v>423</v>
      </c>
      <c r="B750" s="1" t="s">
        <v>56</v>
      </c>
      <c r="C750" s="1" t="s">
        <v>9</v>
      </c>
      <c r="D750" s="2">
        <v>5073</v>
      </c>
      <c r="E750" s="1" t="s">
        <v>762</v>
      </c>
      <c r="F750" s="4">
        <v>2732238</v>
      </c>
      <c r="G750" s="4">
        <v>1234682</v>
      </c>
      <c r="H750" s="2">
        <v>0</v>
      </c>
      <c r="I750" s="2">
        <v>1</v>
      </c>
      <c r="J750" s="5">
        <v>0</v>
      </c>
      <c r="K750" s="11" t="str">
        <f>HYPERLINK("https://www.geoportal.ch/ktsg/map/34?y=2732238&amp;x=1234682&amp;scale=2500&amp;topic=coord&amp;highlight=1&amp;label=Standort|Feuerverbotsplakat","Karte")</f>
        <v>Karte</v>
      </c>
    </row>
    <row r="751" spans="1:11" x14ac:dyDescent="0.2">
      <c r="A751" s="1" t="s">
        <v>423</v>
      </c>
      <c r="B751" s="1" t="s">
        <v>56</v>
      </c>
      <c r="C751" s="1" t="s">
        <v>9</v>
      </c>
      <c r="D751" s="2">
        <v>5074</v>
      </c>
      <c r="E751" s="1" t="s">
        <v>765</v>
      </c>
      <c r="F751" s="4">
        <v>2730889</v>
      </c>
      <c r="G751" s="4">
        <v>1234544</v>
      </c>
      <c r="H751" s="2">
        <v>0</v>
      </c>
      <c r="I751" s="2">
        <v>1</v>
      </c>
      <c r="J751" s="5">
        <v>0</v>
      </c>
      <c r="K751" s="11" t="str">
        <f>HYPERLINK("https://www.geoportal.ch/ktsg/map/34?y=2730889&amp;x=1234544&amp;scale=2500&amp;topic=coord&amp;highlight=1&amp;label=Standort|Feuerverbotsplakat","Karte")</f>
        <v>Karte</v>
      </c>
    </row>
    <row r="752" spans="1:11" x14ac:dyDescent="0.2">
      <c r="A752" s="1" t="s">
        <v>423</v>
      </c>
      <c r="B752" s="1" t="s">
        <v>56</v>
      </c>
      <c r="C752" s="1" t="s">
        <v>9</v>
      </c>
      <c r="D752" s="2">
        <v>5075</v>
      </c>
      <c r="E752" s="1" t="s">
        <v>763</v>
      </c>
      <c r="F752" s="4">
        <v>2731386</v>
      </c>
      <c r="G752" s="4">
        <v>1235381</v>
      </c>
      <c r="H752" s="2">
        <v>0</v>
      </c>
      <c r="I752" s="2">
        <v>1</v>
      </c>
      <c r="J752" s="5">
        <v>0</v>
      </c>
      <c r="K752" s="11" t="str">
        <f>HYPERLINK("https://www.geoportal.ch/ktsg/map/34?y=2731386&amp;x=1235381&amp;scale=2500&amp;topic=coord&amp;highlight=1&amp;label=Standort|Feuerverbotsplakat","Karte")</f>
        <v>Karte</v>
      </c>
    </row>
    <row r="753" spans="1:11" x14ac:dyDescent="0.2">
      <c r="A753" s="1" t="s">
        <v>423</v>
      </c>
      <c r="B753" s="1" t="s">
        <v>56</v>
      </c>
      <c r="C753" s="1" t="s">
        <v>9</v>
      </c>
      <c r="D753" s="2">
        <v>5076</v>
      </c>
      <c r="E753" s="1" t="s">
        <v>764</v>
      </c>
      <c r="F753" s="4">
        <v>2733186</v>
      </c>
      <c r="G753" s="4">
        <v>1232165</v>
      </c>
      <c r="H753" s="2">
        <v>0</v>
      </c>
      <c r="I753" s="2">
        <v>0</v>
      </c>
      <c r="J753" s="5">
        <v>1</v>
      </c>
      <c r="K753" s="11" t="str">
        <f>HYPERLINK("https://www.geoportal.ch/ktsg/map/34?y=2733186&amp;x=1232165&amp;scale=2500&amp;topic=coord&amp;highlight=1&amp;label=Standort|Feuerverbotsplakat","Karte")</f>
        <v>Karte</v>
      </c>
    </row>
    <row r="754" spans="1:11" x14ac:dyDescent="0.2">
      <c r="A754" s="1" t="s">
        <v>423</v>
      </c>
      <c r="B754" s="1" t="s">
        <v>56</v>
      </c>
      <c r="C754" s="1" t="s">
        <v>9</v>
      </c>
      <c r="D754" s="2">
        <v>5077</v>
      </c>
      <c r="E754" s="1" t="s">
        <v>880</v>
      </c>
      <c r="F754" s="4">
        <v>2733797</v>
      </c>
      <c r="G754" s="4">
        <v>1232100</v>
      </c>
      <c r="H754" s="2">
        <v>0</v>
      </c>
      <c r="I754" s="2">
        <v>1</v>
      </c>
      <c r="J754" s="5">
        <v>0</v>
      </c>
      <c r="K754" s="11" t="str">
        <f>HYPERLINK("https://www.geoportal.ch/ktsg/map/34?y=2733797&amp;x=1232100&amp;scale=2500&amp;topic=coord&amp;highlight=1&amp;label=Standort|Feuerverbotsplakat","Karte")</f>
        <v>Karte</v>
      </c>
    </row>
    <row r="755" spans="1:11" x14ac:dyDescent="0.2">
      <c r="A755" s="1" t="s">
        <v>423</v>
      </c>
      <c r="B755" s="1" t="s">
        <v>56</v>
      </c>
      <c r="C755" s="1" t="s">
        <v>9</v>
      </c>
      <c r="D755" s="2">
        <v>5078</v>
      </c>
      <c r="E755" s="1" t="s">
        <v>766</v>
      </c>
      <c r="F755" s="4">
        <v>2734731</v>
      </c>
      <c r="G755" s="4">
        <v>1231853</v>
      </c>
      <c r="H755" s="2">
        <v>0</v>
      </c>
      <c r="I755" s="2">
        <v>1</v>
      </c>
      <c r="J755" s="5">
        <v>0</v>
      </c>
      <c r="K755" s="11" t="str">
        <f>HYPERLINK("https://www.geoportal.ch/ktsg/map/34?y=2734731&amp;x=1231853&amp;scale=2500&amp;topic=coord&amp;highlight=1&amp;label=Standort|Feuerverbotsplakat","Karte")</f>
        <v>Karte</v>
      </c>
    </row>
    <row r="756" spans="1:11" x14ac:dyDescent="0.2">
      <c r="A756" s="1" t="s">
        <v>423</v>
      </c>
      <c r="B756" s="1" t="s">
        <v>56</v>
      </c>
      <c r="C756" s="1" t="s">
        <v>9</v>
      </c>
      <c r="D756" s="2">
        <v>5079</v>
      </c>
      <c r="E756" s="1" t="s">
        <v>767</v>
      </c>
      <c r="F756" s="4">
        <v>2734508</v>
      </c>
      <c r="G756" s="4">
        <v>1232497</v>
      </c>
      <c r="H756" s="2">
        <v>0</v>
      </c>
      <c r="I756" s="2">
        <v>1</v>
      </c>
      <c r="J756" s="5">
        <v>0</v>
      </c>
      <c r="K756" s="11" t="str">
        <f>HYPERLINK("https://www.geoportal.ch/ktsg/map/34?y=2734508&amp;x=1232497&amp;scale=2500&amp;topic=coord&amp;highlight=1&amp;label=Standort|Feuerverbotsplakat","Karte")</f>
        <v>Karte</v>
      </c>
    </row>
    <row r="757" spans="1:11" x14ac:dyDescent="0.2">
      <c r="A757" s="1" t="s">
        <v>423</v>
      </c>
      <c r="B757" s="1" t="s">
        <v>56</v>
      </c>
      <c r="C757" s="1" t="s">
        <v>9</v>
      </c>
      <c r="D757" s="2">
        <v>5080</v>
      </c>
      <c r="E757" s="1" t="s">
        <v>903</v>
      </c>
      <c r="F757" s="4">
        <v>2733330</v>
      </c>
      <c r="G757" s="4">
        <v>1231941</v>
      </c>
      <c r="H757" s="2">
        <v>0</v>
      </c>
      <c r="I757" s="2">
        <v>0</v>
      </c>
      <c r="J757" s="5">
        <v>1</v>
      </c>
      <c r="K757" s="11" t="str">
        <f>HYPERLINK("https://www.geoportal.ch/ktsg/map/34?y=2733330&amp;x=1231941&amp;scale=2500&amp;topic=coord&amp;highlight=1&amp;label=Standort|Feuerverbotsplakat","Karte")</f>
        <v>Karte</v>
      </c>
    </row>
    <row r="758" spans="1:11" x14ac:dyDescent="0.2">
      <c r="A758" s="1" t="s">
        <v>423</v>
      </c>
      <c r="B758" s="1" t="s">
        <v>60</v>
      </c>
      <c r="C758" s="1" t="s">
        <v>9</v>
      </c>
      <c r="D758" s="2">
        <v>5081</v>
      </c>
      <c r="E758" s="1" t="s">
        <v>768</v>
      </c>
      <c r="F758" s="4">
        <v>2726359</v>
      </c>
      <c r="G758" s="4">
        <v>1243826</v>
      </c>
      <c r="H758" s="2">
        <v>0</v>
      </c>
      <c r="I758" s="5">
        <v>1</v>
      </c>
      <c r="J758" s="5">
        <v>1</v>
      </c>
      <c r="K758" s="11" t="str">
        <f>HYPERLINK("https://www.geoportal.ch/ktsg/map/34?y=2726359&amp;x=1243826&amp;scale=2500&amp;topic=coord&amp;highlight=1&amp;label=Standort|Feuerverbotsplakat","Karte")</f>
        <v>Karte</v>
      </c>
    </row>
    <row r="759" spans="1:11" x14ac:dyDescent="0.2">
      <c r="A759" s="1" t="s">
        <v>423</v>
      </c>
      <c r="B759" s="1" t="s">
        <v>60</v>
      </c>
      <c r="C759" s="1" t="s">
        <v>9</v>
      </c>
      <c r="D759" s="2">
        <v>5082</v>
      </c>
      <c r="E759" s="1" t="s">
        <v>881</v>
      </c>
      <c r="F759" s="4">
        <v>2726179</v>
      </c>
      <c r="G759" s="4">
        <v>1243498</v>
      </c>
      <c r="H759" s="2">
        <v>0</v>
      </c>
      <c r="I759" s="5">
        <v>1</v>
      </c>
      <c r="J759" s="5">
        <v>0</v>
      </c>
      <c r="K759" s="11" t="str">
        <f>HYPERLINK("https://www.geoportal.ch/ktsg/map/34?y=2726179&amp;x=1243498&amp;scale=2500&amp;topic=coord&amp;highlight=1&amp;label=Standort|Feuerverbotsplakat","Karte")</f>
        <v>Karte</v>
      </c>
    </row>
    <row r="760" spans="1:11" x14ac:dyDescent="0.2">
      <c r="A760" s="1" t="s">
        <v>423</v>
      </c>
      <c r="B760" s="1" t="s">
        <v>60</v>
      </c>
      <c r="C760" s="1" t="s">
        <v>9</v>
      </c>
      <c r="D760" s="2">
        <v>5083</v>
      </c>
      <c r="E760" s="1" t="s">
        <v>721</v>
      </c>
      <c r="F760" s="4">
        <v>2725603</v>
      </c>
      <c r="G760" s="4">
        <v>1246566</v>
      </c>
      <c r="H760" s="2">
        <v>0</v>
      </c>
      <c r="I760" s="5">
        <v>1</v>
      </c>
      <c r="J760" s="5">
        <v>0</v>
      </c>
      <c r="K760" s="11" t="str">
        <f>HYPERLINK("https://www.geoportal.ch/ktsg/map/34?y=2725603&amp;x=1246566&amp;scale=2500&amp;topic=coord&amp;highlight=1&amp;label=Standort|Feuerverbotsplakat","Karte")</f>
        <v>Karte</v>
      </c>
    </row>
    <row r="761" spans="1:11" x14ac:dyDescent="0.2">
      <c r="A761" s="1" t="s">
        <v>423</v>
      </c>
      <c r="B761" s="1" t="s">
        <v>60</v>
      </c>
      <c r="C761" s="1" t="s">
        <v>9</v>
      </c>
      <c r="D761" s="2">
        <v>5084</v>
      </c>
      <c r="E761" s="1" t="s">
        <v>769</v>
      </c>
      <c r="F761" s="4">
        <v>2726534</v>
      </c>
      <c r="G761" s="4">
        <v>1246615</v>
      </c>
      <c r="H761" s="2">
        <v>0</v>
      </c>
      <c r="I761" s="5">
        <v>1</v>
      </c>
      <c r="J761" s="5">
        <v>0</v>
      </c>
      <c r="K761" s="11" t="str">
        <f>HYPERLINK("https://www.geoportal.ch/ktsg/map/34?y=2726534&amp;x=1246615&amp;scale=2500&amp;topic=coord&amp;highlight=1&amp;label=Standort|Feuerverbotsplakat","Karte")</f>
        <v>Karte</v>
      </c>
    </row>
    <row r="762" spans="1:11" x14ac:dyDescent="0.2">
      <c r="A762" s="1" t="s">
        <v>423</v>
      </c>
      <c r="B762" s="1" t="s">
        <v>60</v>
      </c>
      <c r="C762" s="1" t="s">
        <v>9</v>
      </c>
      <c r="D762" s="2">
        <v>5085</v>
      </c>
      <c r="E762" s="1" t="s">
        <v>722</v>
      </c>
      <c r="F762" s="4">
        <v>2724632</v>
      </c>
      <c r="G762" s="4">
        <v>1245636</v>
      </c>
      <c r="H762" s="2">
        <v>0</v>
      </c>
      <c r="I762" s="5">
        <v>1</v>
      </c>
      <c r="J762" s="5">
        <v>0</v>
      </c>
      <c r="K762" s="11" t="str">
        <f>HYPERLINK("https://www.geoportal.ch/ktsg/map/34?y=2724632&amp;x=1245636&amp;scale=2500&amp;topic=coord&amp;highlight=1&amp;label=Standort|Feuerverbotsplakat","Karte")</f>
        <v>Karte</v>
      </c>
    </row>
    <row r="763" spans="1:11" x14ac:dyDescent="0.2">
      <c r="A763" s="1" t="s">
        <v>423</v>
      </c>
      <c r="B763" s="1" t="s">
        <v>3</v>
      </c>
      <c r="C763" s="1" t="s">
        <v>66</v>
      </c>
      <c r="D763" s="2">
        <v>5086</v>
      </c>
      <c r="E763" s="1" t="s">
        <v>723</v>
      </c>
      <c r="F763" s="4">
        <v>2720109</v>
      </c>
      <c r="G763" s="4">
        <v>1239071</v>
      </c>
      <c r="H763" s="2">
        <v>0</v>
      </c>
      <c r="I763" s="5">
        <v>1</v>
      </c>
      <c r="J763" s="5">
        <v>0</v>
      </c>
      <c r="K763" s="11" t="str">
        <f>HYPERLINK("https://www.geoportal.ch/ktsg/map/34?y=2720109&amp;x=1239071&amp;scale=2500&amp;topic=coord&amp;highlight=1&amp;label=Standort|Feuerverbotsplakat","Karte")</f>
        <v>Karte</v>
      </c>
    </row>
    <row r="764" spans="1:11" x14ac:dyDescent="0.2">
      <c r="A764" s="1" t="s">
        <v>423</v>
      </c>
      <c r="B764" s="1" t="s">
        <v>58</v>
      </c>
      <c r="C764" s="1" t="s">
        <v>57</v>
      </c>
      <c r="D764" s="2">
        <v>5087</v>
      </c>
      <c r="E764" s="1" t="s">
        <v>770</v>
      </c>
      <c r="F764" s="4">
        <v>2735442</v>
      </c>
      <c r="G764" s="4">
        <v>1229251</v>
      </c>
      <c r="H764" s="2">
        <v>0</v>
      </c>
      <c r="I764" s="2">
        <v>1</v>
      </c>
      <c r="J764" s="5">
        <v>0</v>
      </c>
      <c r="K764" s="11" t="str">
        <f>HYPERLINK("https://www.geoportal.ch/ktsg/map/34?y=2735442&amp;x=1229251&amp;scale=2500&amp;topic=coord&amp;highlight=1&amp;label=Standort|Feuerverbotsplakat","Karte")</f>
        <v>Karte</v>
      </c>
    </row>
    <row r="765" spans="1:11" x14ac:dyDescent="0.2">
      <c r="A765" s="1" t="s">
        <v>423</v>
      </c>
      <c r="B765" s="1" t="s">
        <v>58</v>
      </c>
      <c r="C765" s="1" t="s">
        <v>57</v>
      </c>
      <c r="D765" s="2">
        <v>5088</v>
      </c>
      <c r="E765" s="1" t="s">
        <v>771</v>
      </c>
      <c r="F765" s="4">
        <v>2735512</v>
      </c>
      <c r="G765" s="4">
        <v>1229005</v>
      </c>
      <c r="H765" s="2">
        <v>0</v>
      </c>
      <c r="I765" s="2">
        <v>1</v>
      </c>
      <c r="J765" s="5">
        <v>0</v>
      </c>
      <c r="K765" s="11" t="str">
        <f>HYPERLINK("https://www.geoportal.ch/ktsg/map/34?y=2735512&amp;x=1229005&amp;scale=2500&amp;topic=coord&amp;highlight=1&amp;label=Standort|Feuerverbotsplakat","Karte")</f>
        <v>Karte</v>
      </c>
    </row>
    <row r="766" spans="1:11" x14ac:dyDescent="0.2">
      <c r="A766" s="1" t="s">
        <v>423</v>
      </c>
      <c r="B766" s="1" t="s">
        <v>58</v>
      </c>
      <c r="C766" s="1" t="s">
        <v>57</v>
      </c>
      <c r="D766" s="2">
        <v>5089</v>
      </c>
      <c r="E766" s="1" t="s">
        <v>772</v>
      </c>
      <c r="F766" s="4">
        <v>2735042</v>
      </c>
      <c r="G766" s="4">
        <v>1228673</v>
      </c>
      <c r="H766" s="2">
        <v>0</v>
      </c>
      <c r="I766" s="2">
        <v>1</v>
      </c>
      <c r="J766" s="5">
        <v>0</v>
      </c>
      <c r="K766" s="11" t="str">
        <f>HYPERLINK("https://www.geoportal.ch/ktsg/map/34?y=2735042&amp;x=1228673&amp;scale=2500&amp;topic=coord&amp;highlight=1&amp;label=Standort|Feuerverbotsplakat","Karte")</f>
        <v>Karte</v>
      </c>
    </row>
    <row r="767" spans="1:11" x14ac:dyDescent="0.2">
      <c r="A767" s="1" t="s">
        <v>423</v>
      </c>
      <c r="B767" s="1" t="s">
        <v>58</v>
      </c>
      <c r="C767" s="1" t="s">
        <v>57</v>
      </c>
      <c r="D767" s="2">
        <v>5090</v>
      </c>
      <c r="E767" s="1" t="s">
        <v>773</v>
      </c>
      <c r="F767" s="4">
        <v>2735800</v>
      </c>
      <c r="G767" s="4">
        <v>1230220</v>
      </c>
      <c r="H767" s="2">
        <v>0</v>
      </c>
      <c r="I767" s="2">
        <v>1</v>
      </c>
      <c r="J767" s="5">
        <v>0</v>
      </c>
      <c r="K767" s="11" t="str">
        <f>HYPERLINK("https://www.geoportal.ch/ktsg/map/34?y=2735800&amp;x=1230220&amp;scale=2500&amp;topic=coord&amp;highlight=1&amp;label=Standort|Feuerverbotsplakat","Karte")</f>
        <v>Karte</v>
      </c>
    </row>
    <row r="768" spans="1:11" x14ac:dyDescent="0.2">
      <c r="A768" s="1" t="s">
        <v>423</v>
      </c>
      <c r="B768" s="1" t="s">
        <v>62</v>
      </c>
      <c r="C768" s="1" t="s">
        <v>61</v>
      </c>
      <c r="D768" s="2">
        <v>5091</v>
      </c>
      <c r="E768" s="1" t="s">
        <v>724</v>
      </c>
      <c r="F768" s="4">
        <v>2726352</v>
      </c>
      <c r="G768" s="4">
        <v>1241786</v>
      </c>
      <c r="H768" s="2">
        <v>0</v>
      </c>
      <c r="I768" s="5">
        <v>1</v>
      </c>
      <c r="J768" s="5">
        <v>0</v>
      </c>
      <c r="K768" s="11" t="str">
        <f>HYPERLINK("https://www.geoportal.ch/ktsg/map/34?y=2726352&amp;x=1241786&amp;scale=2500&amp;topic=coord&amp;highlight=1&amp;label=Standort|Feuerverbotsplakat","Karte")</f>
        <v>Karte</v>
      </c>
    </row>
    <row r="769" spans="1:11" x14ac:dyDescent="0.2">
      <c r="A769" s="1" t="s">
        <v>423</v>
      </c>
      <c r="B769" s="1" t="s">
        <v>62</v>
      </c>
      <c r="C769" s="1" t="s">
        <v>61</v>
      </c>
      <c r="D769" s="2">
        <v>5092</v>
      </c>
      <c r="E769" s="1" t="s">
        <v>725</v>
      </c>
      <c r="F769" s="4">
        <v>2726854</v>
      </c>
      <c r="G769" s="4">
        <v>1241912</v>
      </c>
      <c r="H769" s="2">
        <v>0</v>
      </c>
      <c r="I769" s="5">
        <v>1</v>
      </c>
      <c r="J769" s="5">
        <v>0</v>
      </c>
      <c r="K769" s="11" t="str">
        <f>HYPERLINK("https://www.geoportal.ch/ktsg/map/34?y=2726854&amp;x=1241912&amp;scale=2500&amp;topic=coord&amp;highlight=1&amp;label=Standort|Feuerverbotsplakat","Karte")</f>
        <v>Karte</v>
      </c>
    </row>
    <row r="770" spans="1:11" x14ac:dyDescent="0.2">
      <c r="A770" s="1" t="s">
        <v>423</v>
      </c>
      <c r="B770" s="1" t="s">
        <v>62</v>
      </c>
      <c r="C770" s="1" t="s">
        <v>66</v>
      </c>
      <c r="D770" s="2">
        <v>5093</v>
      </c>
      <c r="E770" s="1" t="s">
        <v>726</v>
      </c>
      <c r="F770" s="4">
        <v>2724425</v>
      </c>
      <c r="G770" s="4">
        <v>1235960</v>
      </c>
      <c r="H770" s="2">
        <v>0</v>
      </c>
      <c r="I770" s="5">
        <v>1</v>
      </c>
      <c r="J770" s="5">
        <v>0</v>
      </c>
      <c r="K770" s="11" t="str">
        <f>HYPERLINK("https://www.geoportal.ch/ktsg/map/34?y=2724425&amp;x=1235960&amp;scale=2500&amp;topic=coord&amp;highlight=1&amp;label=Standort|Feuerverbotsplakat","Karte")</f>
        <v>Karte</v>
      </c>
    </row>
    <row r="771" spans="1:11" x14ac:dyDescent="0.2">
      <c r="A771" s="1" t="s">
        <v>423</v>
      </c>
      <c r="B771" s="1" t="s">
        <v>62</v>
      </c>
      <c r="C771" s="1" t="s">
        <v>66</v>
      </c>
      <c r="D771" s="2">
        <v>5094</v>
      </c>
      <c r="E771" s="1" t="s">
        <v>774</v>
      </c>
      <c r="F771" s="4">
        <v>2723700</v>
      </c>
      <c r="G771" s="4">
        <v>1236020</v>
      </c>
      <c r="H771" s="2">
        <v>0</v>
      </c>
      <c r="I771" s="5">
        <v>1</v>
      </c>
      <c r="J771" s="5">
        <v>0</v>
      </c>
      <c r="K771" s="11" t="str">
        <f>HYPERLINK("https://www.geoportal.ch/ktsg/map/34?y=2723700&amp;x=1236020&amp;scale=2500&amp;topic=coord&amp;highlight=1&amp;label=Standort|Feuerverbotsplakat","Karte")</f>
        <v>Karte</v>
      </c>
    </row>
    <row r="772" spans="1:11" x14ac:dyDescent="0.2">
      <c r="A772" s="1" t="s">
        <v>423</v>
      </c>
      <c r="B772" s="1" t="s">
        <v>62</v>
      </c>
      <c r="C772" s="1" t="s">
        <v>66</v>
      </c>
      <c r="D772" s="2">
        <v>5095</v>
      </c>
      <c r="E772" s="1" t="s">
        <v>727</v>
      </c>
      <c r="F772" s="4">
        <v>2721622</v>
      </c>
      <c r="G772" s="4">
        <v>1238595</v>
      </c>
      <c r="H772" s="2">
        <v>0</v>
      </c>
      <c r="I772" s="5">
        <v>1</v>
      </c>
      <c r="J772" s="5">
        <v>0</v>
      </c>
      <c r="K772" s="11" t="str">
        <f>HYPERLINK("https://www.geoportal.ch/ktsg/map/34?y=2721622&amp;x=1238595&amp;scale=2500&amp;topic=coord&amp;highlight=1&amp;label=Standort|Feuerverbotsplakat","Karte")</f>
        <v>Karte</v>
      </c>
    </row>
    <row r="773" spans="1:11" x14ac:dyDescent="0.2">
      <c r="A773" s="1" t="s">
        <v>423</v>
      </c>
      <c r="B773" s="1" t="s">
        <v>62</v>
      </c>
      <c r="C773" s="1" t="s">
        <v>66</v>
      </c>
      <c r="D773" s="2">
        <v>5096</v>
      </c>
      <c r="E773" s="1" t="s">
        <v>784</v>
      </c>
      <c r="F773" s="4">
        <v>2721235</v>
      </c>
      <c r="G773" s="4">
        <v>1238475</v>
      </c>
      <c r="H773" s="2">
        <v>0</v>
      </c>
      <c r="I773" s="5">
        <v>1</v>
      </c>
      <c r="J773" s="5">
        <v>0</v>
      </c>
      <c r="K773" s="11" t="str">
        <f>HYPERLINK("https://www.geoportal.ch/ktsg/map/34?y=2721235&amp;x=1238475&amp;scale=2500&amp;topic=coord&amp;highlight=1&amp;label=Standort|Feuerverbotsplakat","Karte")</f>
        <v>Karte</v>
      </c>
    </row>
    <row r="774" spans="1:11" x14ac:dyDescent="0.2">
      <c r="A774" s="1" t="s">
        <v>423</v>
      </c>
      <c r="B774" s="1" t="s">
        <v>62</v>
      </c>
      <c r="C774" s="1" t="s">
        <v>66</v>
      </c>
      <c r="D774" s="2">
        <v>5097</v>
      </c>
      <c r="E774" s="1" t="s">
        <v>783</v>
      </c>
      <c r="F774" s="4">
        <v>2721026</v>
      </c>
      <c r="G774" s="4">
        <v>1239166</v>
      </c>
      <c r="H774" s="2">
        <v>0</v>
      </c>
      <c r="I774" s="5">
        <v>1</v>
      </c>
      <c r="J774" s="5">
        <v>0</v>
      </c>
      <c r="K774" s="11" t="str">
        <f>HYPERLINK("https://www.geoportal.ch/ktsg/map/34?y=2721026&amp;x=1239166&amp;scale=2500&amp;topic=coord&amp;highlight=1&amp;label=Standort|Feuerverbotsplakat","Karte")</f>
        <v>Karte</v>
      </c>
    </row>
    <row r="775" spans="1:11" x14ac:dyDescent="0.2">
      <c r="A775" s="1" t="s">
        <v>423</v>
      </c>
      <c r="B775" s="1" t="s">
        <v>62</v>
      </c>
      <c r="C775" s="1" t="s">
        <v>9</v>
      </c>
      <c r="D775" s="2">
        <v>5098</v>
      </c>
      <c r="E775" s="1" t="s">
        <v>728</v>
      </c>
      <c r="F775" s="4">
        <v>2724850</v>
      </c>
      <c r="G775" s="4">
        <v>1238475</v>
      </c>
      <c r="H775" s="2">
        <v>0</v>
      </c>
      <c r="I775" s="5">
        <v>1</v>
      </c>
      <c r="J775" s="5">
        <v>0</v>
      </c>
      <c r="K775" s="11" t="str">
        <f>HYPERLINK("https://www.geoportal.ch/ktsg/map/34?y=2724850&amp;x=1238475&amp;scale=2500&amp;topic=coord&amp;highlight=1&amp;label=Standort|Feuerverbotsplakat","Karte")</f>
        <v>Karte</v>
      </c>
    </row>
    <row r="776" spans="1:11" x14ac:dyDescent="0.2">
      <c r="A776" s="1" t="s">
        <v>423</v>
      </c>
      <c r="B776" s="1" t="s">
        <v>62</v>
      </c>
      <c r="C776" s="1" t="s">
        <v>9</v>
      </c>
      <c r="D776" s="2">
        <v>5099</v>
      </c>
      <c r="E776" s="1" t="s">
        <v>729</v>
      </c>
      <c r="F776" s="4">
        <v>2726178</v>
      </c>
      <c r="G776" s="4">
        <v>1238921</v>
      </c>
      <c r="H776" s="2">
        <v>0</v>
      </c>
      <c r="I776" s="5">
        <v>1</v>
      </c>
      <c r="J776" s="5">
        <v>0</v>
      </c>
      <c r="K776" s="11" t="str">
        <f>HYPERLINK("https://www.geoportal.ch/ktsg/map/34?y=2726178&amp;x=1238921&amp;scale=2500&amp;topic=coord&amp;highlight=1&amp;label=Standort|Feuerverbotsplakat","Karte")</f>
        <v>Karte</v>
      </c>
    </row>
    <row r="777" spans="1:11" x14ac:dyDescent="0.2">
      <c r="A777" s="1" t="s">
        <v>423</v>
      </c>
      <c r="B777" s="1" t="s">
        <v>62</v>
      </c>
      <c r="C777" s="1" t="s">
        <v>9</v>
      </c>
      <c r="D777" s="2">
        <v>5100</v>
      </c>
      <c r="E777" s="1" t="s">
        <v>785</v>
      </c>
      <c r="F777" s="4">
        <v>2724060</v>
      </c>
      <c r="G777" s="4">
        <v>1240000</v>
      </c>
      <c r="H777" s="2">
        <v>0</v>
      </c>
      <c r="I777" s="5">
        <v>1</v>
      </c>
      <c r="J777" s="5">
        <v>0</v>
      </c>
      <c r="K777" s="11" t="str">
        <f>HYPERLINK("https://www.geoportal.ch/ktsg/map/34?y=2724060&amp;x=1240000&amp;scale=2500&amp;topic=coord&amp;highlight=1&amp;label=Standort|Feuerverbotsplakat","Karte")</f>
        <v>Karte</v>
      </c>
    </row>
    <row r="778" spans="1:11" x14ac:dyDescent="0.2">
      <c r="A778" s="1" t="s">
        <v>423</v>
      </c>
      <c r="B778" s="1" t="s">
        <v>62</v>
      </c>
      <c r="C778" s="1" t="s">
        <v>9</v>
      </c>
      <c r="D778" s="2">
        <v>5101</v>
      </c>
      <c r="E778" s="1" t="s">
        <v>786</v>
      </c>
      <c r="F778" s="4">
        <v>2724145</v>
      </c>
      <c r="G778" s="4">
        <v>1239810</v>
      </c>
      <c r="H778" s="2">
        <v>0</v>
      </c>
      <c r="I778" s="5">
        <v>1</v>
      </c>
      <c r="J778" s="5">
        <v>0</v>
      </c>
      <c r="K778" s="11" t="str">
        <f>HYPERLINK("https://www.geoportal.ch/ktsg/map/34?y=2724145&amp;x=1239810&amp;scale=2500&amp;topic=coord&amp;highlight=1&amp;label=Standort|Feuerverbotsplakat","Karte")</f>
        <v>Karte</v>
      </c>
    </row>
    <row r="779" spans="1:11" x14ac:dyDescent="0.2">
      <c r="A779" s="1" t="s">
        <v>423</v>
      </c>
      <c r="B779" s="1" t="s">
        <v>54</v>
      </c>
      <c r="C779" s="1" t="s">
        <v>55</v>
      </c>
      <c r="D779" s="2">
        <v>5102</v>
      </c>
      <c r="E779" s="1" t="s">
        <v>730</v>
      </c>
      <c r="F779" s="4">
        <v>2746240</v>
      </c>
      <c r="G779" s="4">
        <v>1229342</v>
      </c>
      <c r="H779" s="2">
        <v>0</v>
      </c>
      <c r="I779" s="2">
        <v>1</v>
      </c>
      <c r="J779" s="5">
        <v>0</v>
      </c>
      <c r="K779" s="11" t="str">
        <f>HYPERLINK("https://www.geoportal.ch/ktsg/map/34?y=2746240&amp;x=1229342&amp;scale=2500&amp;topic=coord&amp;highlight=1&amp;label=Standort|Feuerverbotsplakat","Karte")</f>
        <v>Karte</v>
      </c>
    </row>
    <row r="780" spans="1:11" x14ac:dyDescent="0.2">
      <c r="A780" s="1" t="s">
        <v>423</v>
      </c>
      <c r="B780" s="1" t="s">
        <v>54</v>
      </c>
      <c r="C780" s="1" t="s">
        <v>55</v>
      </c>
      <c r="D780" s="2">
        <v>5103</v>
      </c>
      <c r="E780" s="1" t="s">
        <v>787</v>
      </c>
      <c r="F780" s="4">
        <v>2744954</v>
      </c>
      <c r="G780" s="4">
        <v>1230034</v>
      </c>
      <c r="H780" s="2">
        <v>0</v>
      </c>
      <c r="I780" s="2">
        <v>1</v>
      </c>
      <c r="J780" s="5">
        <v>0</v>
      </c>
      <c r="K780" s="11" t="str">
        <f>HYPERLINK("https://www.geoportal.ch/ktsg/map/34?y=2744954&amp;x=1230034&amp;scale=2500&amp;topic=coord&amp;highlight=1&amp;label=Standort|Feuerverbotsplakat","Karte")</f>
        <v>Karte</v>
      </c>
    </row>
    <row r="781" spans="1:11" x14ac:dyDescent="0.2">
      <c r="A781" s="1" t="s">
        <v>423</v>
      </c>
      <c r="B781" s="1" t="s">
        <v>54</v>
      </c>
      <c r="C781" s="1" t="s">
        <v>9</v>
      </c>
      <c r="D781" s="2">
        <v>5104</v>
      </c>
      <c r="E781" s="1" t="s">
        <v>882</v>
      </c>
      <c r="F781" s="4">
        <v>2745578</v>
      </c>
      <c r="G781" s="4">
        <v>1230036</v>
      </c>
      <c r="H781" s="2">
        <v>0</v>
      </c>
      <c r="I781" s="2">
        <v>1</v>
      </c>
      <c r="J781" s="5">
        <v>0</v>
      </c>
      <c r="K781" s="11" t="str">
        <f>HYPERLINK("https://www.geoportal.ch/ktsg/map/34?y=2745578&amp;x=1230036&amp;scale=2500&amp;topic=coord&amp;highlight=1&amp;label=Standort|Feuerverbotsplakat","Karte")</f>
        <v>Karte</v>
      </c>
    </row>
    <row r="782" spans="1:11" x14ac:dyDescent="0.2">
      <c r="A782" s="1" t="s">
        <v>423</v>
      </c>
      <c r="B782" s="1" t="s">
        <v>54</v>
      </c>
      <c r="C782" s="1" t="s">
        <v>9</v>
      </c>
      <c r="D782" s="2">
        <v>5105</v>
      </c>
      <c r="E782" s="1" t="s">
        <v>731</v>
      </c>
      <c r="F782" s="4">
        <v>2744724</v>
      </c>
      <c r="G782" s="4">
        <v>1228472</v>
      </c>
      <c r="H782" s="2">
        <v>0</v>
      </c>
      <c r="I782" s="2">
        <v>1</v>
      </c>
      <c r="J782" s="5">
        <v>0</v>
      </c>
      <c r="K782" s="11" t="str">
        <f>HYPERLINK("https://www.geoportal.ch/ktsg/map/34?y=2744724&amp;x=1228472&amp;scale=2500&amp;topic=coord&amp;highlight=1&amp;label=Standort|Feuerverbotsplakat","Karte")</f>
        <v>Karte</v>
      </c>
    </row>
    <row r="783" spans="1:11" x14ac:dyDescent="0.2">
      <c r="A783" s="1" t="s">
        <v>423</v>
      </c>
      <c r="B783" s="1" t="s">
        <v>54</v>
      </c>
      <c r="C783" s="1" t="s">
        <v>9</v>
      </c>
      <c r="D783" s="2">
        <v>5106</v>
      </c>
      <c r="E783" s="1" t="s">
        <v>918</v>
      </c>
      <c r="F783" s="4">
        <v>2747646</v>
      </c>
      <c r="G783" s="4">
        <v>1230206</v>
      </c>
      <c r="H783" s="2">
        <v>0</v>
      </c>
      <c r="I783" s="2">
        <v>1</v>
      </c>
      <c r="J783" s="5">
        <v>0</v>
      </c>
      <c r="K783" s="11" t="str">
        <f>HYPERLINK("https://www.geoportal.ch/ktsg/map/34?y=2747646&amp;x=1230206&amp;scale=2500&amp;topic=coord&amp;highlight=1&amp;label=Standort|Feuerverbotsplakat","Karte")</f>
        <v>Karte</v>
      </c>
    </row>
    <row r="784" spans="1:11" x14ac:dyDescent="0.2">
      <c r="A784" s="1" t="s">
        <v>423</v>
      </c>
      <c r="B784" s="1" t="s">
        <v>54</v>
      </c>
      <c r="C784" s="1" t="s">
        <v>55</v>
      </c>
      <c r="D784" s="2">
        <v>5107</v>
      </c>
      <c r="E784" s="1" t="s">
        <v>789</v>
      </c>
      <c r="F784" s="4">
        <v>2745926</v>
      </c>
      <c r="G784" s="4">
        <v>1230264</v>
      </c>
      <c r="H784" s="2">
        <v>0</v>
      </c>
      <c r="I784" s="2">
        <v>1</v>
      </c>
      <c r="J784" s="5">
        <v>0</v>
      </c>
      <c r="K784" s="11" t="str">
        <f>HYPERLINK("https://www.geoportal.ch/ktsg/map/34?y=2745926&amp;x=1230264&amp;scale=2500&amp;topic=coord&amp;highlight=1&amp;label=Standort|Feuerverbotsplakat","Karte")</f>
        <v>Karte</v>
      </c>
    </row>
    <row r="785" spans="1:11" x14ac:dyDescent="0.2">
      <c r="A785" s="1" t="s">
        <v>423</v>
      </c>
      <c r="B785" s="1" t="s">
        <v>54</v>
      </c>
      <c r="C785" s="1" t="s">
        <v>55</v>
      </c>
      <c r="D785" s="2">
        <v>5108</v>
      </c>
      <c r="E785" s="1" t="s">
        <v>271</v>
      </c>
      <c r="F785" s="4">
        <v>2745337</v>
      </c>
      <c r="G785" s="4">
        <v>1230275</v>
      </c>
      <c r="H785" s="2">
        <v>0</v>
      </c>
      <c r="I785" s="2">
        <v>1</v>
      </c>
      <c r="J785" s="5">
        <v>1</v>
      </c>
      <c r="K785" s="11" t="str">
        <f>HYPERLINK("https://www.geoportal.ch/ktsg/map/34?y=2745337&amp;x=1230275&amp;scale=2500&amp;topic=coord&amp;highlight=1&amp;label=Standort|Feuerverbotsplakat","Karte")</f>
        <v>Karte</v>
      </c>
    </row>
    <row r="786" spans="1:11" x14ac:dyDescent="0.2">
      <c r="A786" s="1" t="s">
        <v>423</v>
      </c>
      <c r="B786" s="1" t="s">
        <v>54</v>
      </c>
      <c r="C786" s="1" t="s">
        <v>9</v>
      </c>
      <c r="D786" s="2">
        <v>5109</v>
      </c>
      <c r="E786" s="1" t="s">
        <v>732</v>
      </c>
      <c r="F786" s="4">
        <v>2742972</v>
      </c>
      <c r="G786" s="4">
        <v>1230924</v>
      </c>
      <c r="H786" s="2">
        <v>0</v>
      </c>
      <c r="I786" s="2">
        <v>1</v>
      </c>
      <c r="J786" s="5">
        <v>0</v>
      </c>
      <c r="K786" s="11" t="str">
        <f>HYPERLINK("https://www.geoportal.ch/ktsg/map/34?y=2742972&amp;x=1230924&amp;scale=2500&amp;topic=coord&amp;highlight=1&amp;label=Standort|Feuerverbotsplakat","Karte")</f>
        <v>Karte</v>
      </c>
    </row>
    <row r="787" spans="1:11" x14ac:dyDescent="0.2">
      <c r="A787" s="1" t="s">
        <v>423</v>
      </c>
      <c r="B787" s="1" t="s">
        <v>54</v>
      </c>
      <c r="C787" s="1" t="s">
        <v>9</v>
      </c>
      <c r="D787" s="2">
        <v>5110</v>
      </c>
      <c r="E787" s="1" t="s">
        <v>916</v>
      </c>
      <c r="F787" s="4">
        <v>2741927</v>
      </c>
      <c r="G787" s="4">
        <v>1229497</v>
      </c>
      <c r="H787" s="2">
        <v>0</v>
      </c>
      <c r="I787" s="2">
        <v>1</v>
      </c>
      <c r="J787" s="5">
        <v>0</v>
      </c>
      <c r="K787" s="11" t="str">
        <f>HYPERLINK("https://www.geoportal.ch/ktsg/map/34?y=2741927&amp;x=1229497&amp;scale=2500&amp;topic=coord&amp;highlight=1&amp;label=Standort|Feuerverbotsplakat","Karte")</f>
        <v>Karte</v>
      </c>
    </row>
    <row r="788" spans="1:11" x14ac:dyDescent="0.2">
      <c r="A788" s="1" t="s">
        <v>423</v>
      </c>
      <c r="B788" s="1" t="s">
        <v>54</v>
      </c>
      <c r="C788" s="1" t="s">
        <v>9</v>
      </c>
      <c r="D788" s="2">
        <v>5111</v>
      </c>
      <c r="E788" s="1" t="s">
        <v>733</v>
      </c>
      <c r="F788" s="4">
        <v>2743253</v>
      </c>
      <c r="G788" s="4">
        <v>1227892</v>
      </c>
      <c r="H788" s="2">
        <v>0</v>
      </c>
      <c r="I788" s="2">
        <v>2</v>
      </c>
      <c r="J788" s="5">
        <v>0</v>
      </c>
      <c r="K788" s="11" t="str">
        <f>HYPERLINK("https://www.geoportal.ch/ktsg/map/34?y=2743253&amp;x=1227892&amp;scale=2500&amp;topic=coord&amp;highlight=1&amp;label=Standort|Feuerverbotsplakat","Karte")</f>
        <v>Karte</v>
      </c>
    </row>
    <row r="789" spans="1:11" x14ac:dyDescent="0.2">
      <c r="A789" s="1" t="s">
        <v>423</v>
      </c>
      <c r="B789" s="1" t="s">
        <v>54</v>
      </c>
      <c r="C789" s="1" t="s">
        <v>9</v>
      </c>
      <c r="D789" s="2">
        <v>5112</v>
      </c>
      <c r="E789" s="1" t="s">
        <v>734</v>
      </c>
      <c r="F789" s="4">
        <v>2743326</v>
      </c>
      <c r="G789" s="4">
        <v>1227151</v>
      </c>
      <c r="H789" s="2">
        <v>0</v>
      </c>
      <c r="I789" s="2">
        <v>1</v>
      </c>
      <c r="J789" s="5">
        <v>0</v>
      </c>
      <c r="K789" s="11" t="str">
        <f>HYPERLINK("https://www.geoportal.ch/ktsg/map/34?y=2743326&amp;x=1227151&amp;scale=2500&amp;topic=coord&amp;highlight=1&amp;label=Standort|Feuerverbotsplakat","Karte")</f>
        <v>Karte</v>
      </c>
    </row>
    <row r="790" spans="1:11" x14ac:dyDescent="0.2">
      <c r="A790" s="1" t="s">
        <v>423</v>
      </c>
      <c r="B790" s="1" t="s">
        <v>54</v>
      </c>
      <c r="C790" s="1" t="s">
        <v>9</v>
      </c>
      <c r="D790" s="2">
        <v>5113</v>
      </c>
      <c r="E790" s="1" t="s">
        <v>917</v>
      </c>
      <c r="F790" s="4">
        <v>2741638</v>
      </c>
      <c r="G790" s="4">
        <v>1227091</v>
      </c>
      <c r="H790" s="2">
        <v>0</v>
      </c>
      <c r="I790" s="2">
        <v>1</v>
      </c>
      <c r="J790" s="5">
        <v>0</v>
      </c>
      <c r="K790" s="11" t="str">
        <f>HYPERLINK("https://www.geoportal.ch/ktsg/map/34?y=2741638&amp;x=1227091&amp;scale=2500&amp;topic=coord&amp;highlight=1&amp;label=Standort|Feuerverbotsplakat","Karte")</f>
        <v>Karte</v>
      </c>
    </row>
    <row r="791" spans="1:11" x14ac:dyDescent="0.2">
      <c r="A791" s="1" t="s">
        <v>423</v>
      </c>
      <c r="B791" s="1" t="s">
        <v>54</v>
      </c>
      <c r="C791" s="1" t="s">
        <v>55</v>
      </c>
      <c r="D791" s="2">
        <v>5114</v>
      </c>
      <c r="E791" s="1" t="s">
        <v>788</v>
      </c>
      <c r="F791" s="4">
        <v>2743178</v>
      </c>
      <c r="G791" s="4">
        <v>1228109</v>
      </c>
      <c r="H791" s="2">
        <v>0</v>
      </c>
      <c r="I791" s="2">
        <v>1</v>
      </c>
      <c r="J791" s="5">
        <v>0</v>
      </c>
      <c r="K791" s="11" t="str">
        <f>HYPERLINK("https://www.geoportal.ch/ktsg/map/34?y=2743178&amp;x=1228109&amp;scale=2500&amp;topic=coord&amp;highlight=1&amp;label=Standort|Feuerverbotsplakat","Karte")</f>
        <v>Karte</v>
      </c>
    </row>
    <row r="792" spans="1:11" x14ac:dyDescent="0.2">
      <c r="A792" s="1" t="s">
        <v>423</v>
      </c>
      <c r="B792" s="1" t="s">
        <v>54</v>
      </c>
      <c r="C792" s="1" t="s">
        <v>55</v>
      </c>
      <c r="D792" s="2">
        <v>5115</v>
      </c>
      <c r="E792" s="1" t="s">
        <v>550</v>
      </c>
      <c r="F792" s="4">
        <v>2741709</v>
      </c>
      <c r="G792" s="4">
        <v>1228764</v>
      </c>
      <c r="H792" s="2">
        <v>0</v>
      </c>
      <c r="I792" s="2">
        <v>1</v>
      </c>
      <c r="J792" s="5">
        <v>1</v>
      </c>
      <c r="K792" s="11" t="str">
        <f>HYPERLINK("https://www.geoportal.ch/ktsg/map/34?y=2741709&amp;x=1228764&amp;scale=2500&amp;topic=coord&amp;highlight=1&amp;label=Standort|Feuerverbotsplakat","Karte")</f>
        <v>Karte</v>
      </c>
    </row>
    <row r="793" spans="1:11" x14ac:dyDescent="0.2">
      <c r="A793" s="1" t="s">
        <v>423</v>
      </c>
      <c r="B793" s="1" t="s">
        <v>54</v>
      </c>
      <c r="C793" s="1" t="s">
        <v>9</v>
      </c>
      <c r="D793" s="2">
        <v>5116</v>
      </c>
      <c r="E793" s="1" t="s">
        <v>883</v>
      </c>
      <c r="F793" s="4">
        <v>2740091</v>
      </c>
      <c r="G793" s="4">
        <v>1228620</v>
      </c>
      <c r="H793" s="2">
        <v>0</v>
      </c>
      <c r="I793" s="2">
        <v>1</v>
      </c>
      <c r="J793" s="5">
        <v>0</v>
      </c>
      <c r="K793" s="11" t="str">
        <f>HYPERLINK("https://www.geoportal.ch/ktsg/map/34?y=2740091&amp;x=1228620&amp;scale=2500&amp;topic=coord&amp;highlight=1&amp;label=Standort|Feuerverbotsplakat","Karte")</f>
        <v>Karte</v>
      </c>
    </row>
    <row r="794" spans="1:11" x14ac:dyDescent="0.2">
      <c r="A794" s="1" t="s">
        <v>423</v>
      </c>
      <c r="B794" s="1" t="s">
        <v>54</v>
      </c>
      <c r="C794" s="1" t="s">
        <v>55</v>
      </c>
      <c r="D794" s="2">
        <v>5117</v>
      </c>
      <c r="E794" s="1" t="s">
        <v>775</v>
      </c>
      <c r="F794" s="4">
        <v>2738368</v>
      </c>
      <c r="G794" s="4">
        <v>1228797</v>
      </c>
      <c r="H794" s="2">
        <v>0</v>
      </c>
      <c r="I794" s="2">
        <v>1</v>
      </c>
      <c r="J794" s="5">
        <v>0</v>
      </c>
      <c r="K794" s="11" t="str">
        <f>HYPERLINK("https://www.geoportal.ch/ktsg/map/34?y=2738368&amp;x=1228797&amp;scale=2500&amp;topic=coord&amp;highlight=1&amp;label=Standort|Feuerverbotsplakat","Karte")</f>
        <v>Karte</v>
      </c>
    </row>
    <row r="795" spans="1:11" x14ac:dyDescent="0.2">
      <c r="A795" s="1" t="s">
        <v>423</v>
      </c>
      <c r="B795" s="1" t="s">
        <v>54</v>
      </c>
      <c r="C795" s="1" t="s">
        <v>55</v>
      </c>
      <c r="D795" s="2">
        <v>5118</v>
      </c>
      <c r="E795" s="1" t="s">
        <v>776</v>
      </c>
      <c r="F795" s="4">
        <v>2737328</v>
      </c>
      <c r="G795" s="4">
        <v>1227452</v>
      </c>
      <c r="H795" s="2">
        <v>0</v>
      </c>
      <c r="I795" s="2">
        <v>1</v>
      </c>
      <c r="J795" s="5">
        <v>0</v>
      </c>
      <c r="K795" s="11" t="str">
        <f>HYPERLINK("https://www.geoportal.ch/ktsg/map/34?y=2737328&amp;x=1227452&amp;scale=2500&amp;topic=coord&amp;highlight=1&amp;label=Standort|Feuerverbotsplakat","Karte")</f>
        <v>Karte</v>
      </c>
    </row>
    <row r="796" spans="1:11" x14ac:dyDescent="0.2">
      <c r="A796" s="1" t="s">
        <v>423</v>
      </c>
      <c r="B796" s="1" t="s">
        <v>54</v>
      </c>
      <c r="C796" s="1" t="s">
        <v>9</v>
      </c>
      <c r="D796" s="2">
        <v>5119</v>
      </c>
      <c r="E796" s="1" t="s">
        <v>735</v>
      </c>
      <c r="F796" s="4">
        <v>2740131</v>
      </c>
      <c r="G796" s="4">
        <v>1230567</v>
      </c>
      <c r="H796" s="2">
        <v>0</v>
      </c>
      <c r="I796" s="2">
        <v>1</v>
      </c>
      <c r="J796" s="5">
        <v>0</v>
      </c>
      <c r="K796" s="11" t="str">
        <f>HYPERLINK("https://www.geoportal.ch/ktsg/map/34?y=2740131&amp;x=1230567&amp;scale=2500&amp;topic=coord&amp;highlight=1&amp;label=Standort|Feuerverbotsplakat","Karte")</f>
        <v>Karte</v>
      </c>
    </row>
    <row r="797" spans="1:11" x14ac:dyDescent="0.2">
      <c r="A797" s="1" t="s">
        <v>423</v>
      </c>
      <c r="B797" s="1" t="s">
        <v>54</v>
      </c>
      <c r="C797" s="1" t="s">
        <v>55</v>
      </c>
      <c r="D797" s="2">
        <v>5120</v>
      </c>
      <c r="E797" s="1" t="s">
        <v>777</v>
      </c>
      <c r="F797" s="4">
        <v>2742131</v>
      </c>
      <c r="G797" s="4">
        <v>1231196</v>
      </c>
      <c r="H797" s="2">
        <v>0</v>
      </c>
      <c r="I797" s="2">
        <v>1</v>
      </c>
      <c r="J797" s="5">
        <v>0</v>
      </c>
      <c r="K797" s="11" t="str">
        <f>HYPERLINK("https://www.geoportal.ch/ktsg/map/34?y=2742131&amp;x=1231196&amp;scale=2500&amp;topic=coord&amp;highlight=1&amp;label=Standort|Feuerverbotsplakat","Karte")</f>
        <v>Karte</v>
      </c>
    </row>
    <row r="798" spans="1:11" x14ac:dyDescent="0.2">
      <c r="A798" s="1" t="s">
        <v>423</v>
      </c>
      <c r="B798" s="1" t="s">
        <v>54</v>
      </c>
      <c r="C798" s="1" t="s">
        <v>55</v>
      </c>
      <c r="D798" s="2">
        <v>5121</v>
      </c>
      <c r="E798" s="1" t="s">
        <v>551</v>
      </c>
      <c r="F798" s="4">
        <v>2744231</v>
      </c>
      <c r="G798" s="4">
        <v>1229306</v>
      </c>
      <c r="H798" s="2">
        <v>0</v>
      </c>
      <c r="I798" s="5">
        <v>1</v>
      </c>
      <c r="J798" s="8">
        <v>1</v>
      </c>
      <c r="K798" s="11" t="str">
        <f>HYPERLINK("https://www.geoportal.ch/ktsg/map/34?y=2744231&amp;x=1229306&amp;scale=2500&amp;topic=coord&amp;highlight=1&amp;label=Standort|Feuerverbotsplakat","Karte")</f>
        <v>Karte</v>
      </c>
    </row>
    <row r="799" spans="1:11" x14ac:dyDescent="0.2">
      <c r="A799" s="1" t="s">
        <v>423</v>
      </c>
      <c r="B799" s="1" t="s">
        <v>54</v>
      </c>
      <c r="C799" s="1" t="s">
        <v>55</v>
      </c>
      <c r="D799" s="2">
        <v>5122</v>
      </c>
      <c r="E799" s="1" t="s">
        <v>552</v>
      </c>
      <c r="F799" s="4">
        <v>2740095</v>
      </c>
      <c r="G799" s="4">
        <v>1228570</v>
      </c>
      <c r="H799" s="2">
        <v>0</v>
      </c>
      <c r="I799" s="5">
        <v>1</v>
      </c>
      <c r="J799" s="8">
        <v>1</v>
      </c>
      <c r="K799" s="11" t="str">
        <f>HYPERLINK("https://www.geoportal.ch/ktsg/map/34?y=2740095&amp;x=1228570&amp;scale=2500&amp;topic=coord&amp;highlight=1&amp;label=Standort|Feuerverbotsplakat","Karte")</f>
        <v>Karte</v>
      </c>
    </row>
    <row r="800" spans="1:11" x14ac:dyDescent="0.2">
      <c r="A800" s="1" t="s">
        <v>423</v>
      </c>
      <c r="B800" s="1" t="s">
        <v>54</v>
      </c>
      <c r="C800" s="1" t="s">
        <v>55</v>
      </c>
      <c r="D800" s="2">
        <v>5123</v>
      </c>
      <c r="E800" s="1" t="s">
        <v>778</v>
      </c>
      <c r="F800" s="4">
        <v>2744903</v>
      </c>
      <c r="G800" s="4">
        <v>1229802</v>
      </c>
      <c r="H800" s="2">
        <v>0</v>
      </c>
      <c r="I800" s="5">
        <v>1</v>
      </c>
      <c r="J800" s="5">
        <v>0</v>
      </c>
      <c r="K800" s="11" t="str">
        <f>HYPERLINK("https://www.geoportal.ch/ktsg/map/34?y=2744903&amp;x=1229802&amp;scale=2500&amp;topic=coord&amp;highlight=1&amp;label=Standort|Feuerverbotsplakat","Karte")</f>
        <v>Karte</v>
      </c>
    </row>
    <row r="801" spans="1:11" x14ac:dyDescent="0.2">
      <c r="A801" s="1" t="s">
        <v>423</v>
      </c>
      <c r="B801" s="1" t="s">
        <v>54</v>
      </c>
      <c r="C801" s="1" t="s">
        <v>55</v>
      </c>
      <c r="D801" s="2">
        <v>5124</v>
      </c>
      <c r="E801" s="1" t="s">
        <v>779</v>
      </c>
      <c r="F801" s="4">
        <v>2743942</v>
      </c>
      <c r="G801" s="4">
        <v>1229546</v>
      </c>
      <c r="H801" s="2">
        <v>0</v>
      </c>
      <c r="I801" s="5">
        <v>1</v>
      </c>
      <c r="J801" s="5">
        <v>0</v>
      </c>
      <c r="K801" s="11" t="str">
        <f>HYPERLINK("https://www.geoportal.ch/ktsg/map/34?y=2743942&amp;x=1229546&amp;scale=2500&amp;topic=coord&amp;highlight=1&amp;label=Standort|Feuerverbotsplakat","Karte")</f>
        <v>Karte</v>
      </c>
    </row>
    <row r="802" spans="1:11" x14ac:dyDescent="0.2">
      <c r="A802" s="1" t="s">
        <v>423</v>
      </c>
      <c r="B802" s="1" t="s">
        <v>54</v>
      </c>
      <c r="C802" s="1" t="s">
        <v>55</v>
      </c>
      <c r="D802" s="2">
        <v>5125</v>
      </c>
      <c r="E802" s="1" t="s">
        <v>780</v>
      </c>
      <c r="F802" s="4">
        <v>2741706</v>
      </c>
      <c r="G802" s="4">
        <v>1229016</v>
      </c>
      <c r="H802" s="2">
        <v>0</v>
      </c>
      <c r="I802" s="5">
        <v>1</v>
      </c>
      <c r="J802" s="5">
        <v>0</v>
      </c>
      <c r="K802" s="11" t="str">
        <f>HYPERLINK("https://www.geoportal.ch/ktsg/map/34?y=2741706&amp;x=1229016&amp;scale=2500&amp;topic=coord&amp;highlight=1&amp;label=Standort|Feuerverbotsplakat","Karte")</f>
        <v>Karte</v>
      </c>
    </row>
    <row r="803" spans="1:11" x14ac:dyDescent="0.2">
      <c r="A803" s="1" t="s">
        <v>423</v>
      </c>
      <c r="B803" s="1" t="s">
        <v>54</v>
      </c>
      <c r="C803" s="1" t="s">
        <v>55</v>
      </c>
      <c r="D803" s="2">
        <v>5126</v>
      </c>
      <c r="E803" s="1" t="s">
        <v>781</v>
      </c>
      <c r="F803" s="4">
        <v>2739821</v>
      </c>
      <c r="G803" s="4">
        <v>1228570</v>
      </c>
      <c r="H803" s="2">
        <v>0</v>
      </c>
      <c r="I803" s="5">
        <v>1</v>
      </c>
      <c r="J803" s="5">
        <v>0</v>
      </c>
      <c r="K803" s="11" t="str">
        <f>HYPERLINK("https://www.geoportal.ch/ktsg/map/34?y=2739821&amp;x=1228570&amp;scale=2500&amp;topic=coord&amp;highlight=1&amp;label=Standort|Feuerverbotsplakat","Karte")</f>
        <v>Karte</v>
      </c>
    </row>
    <row r="804" spans="1:11" x14ac:dyDescent="0.2">
      <c r="A804" s="1" t="s">
        <v>423</v>
      </c>
      <c r="B804" s="1" t="s">
        <v>54</v>
      </c>
      <c r="C804" s="1" t="s">
        <v>55</v>
      </c>
      <c r="D804" s="2">
        <v>5127</v>
      </c>
      <c r="E804" s="1" t="s">
        <v>782</v>
      </c>
      <c r="F804" s="4">
        <v>2737774</v>
      </c>
      <c r="G804" s="4">
        <v>1227494</v>
      </c>
      <c r="H804" s="2">
        <v>0</v>
      </c>
      <c r="I804" s="5">
        <v>1</v>
      </c>
      <c r="J804" s="5">
        <v>0</v>
      </c>
      <c r="K804" s="11" t="str">
        <f>HYPERLINK("https://www.geoportal.ch/ktsg/map/34?y=2737774&amp;x=1227494&amp;scale=2500&amp;topic=coord&amp;highlight=1&amp;label=Standort|Feuerverbotsplakat","Karte")</f>
        <v>Karte</v>
      </c>
    </row>
    <row r="805" spans="1:11" x14ac:dyDescent="0.2">
      <c r="A805" s="1" t="s">
        <v>423</v>
      </c>
      <c r="B805" s="1" t="s">
        <v>62</v>
      </c>
      <c r="C805" s="1" t="s">
        <v>66</v>
      </c>
      <c r="D805" s="2">
        <v>5128</v>
      </c>
      <c r="E805" s="1" t="s">
        <v>905</v>
      </c>
      <c r="F805" s="4">
        <v>2723997</v>
      </c>
      <c r="G805" s="4">
        <v>1236667</v>
      </c>
      <c r="H805" s="2">
        <v>0</v>
      </c>
      <c r="I805" s="5">
        <v>1</v>
      </c>
      <c r="J805" s="5">
        <v>0</v>
      </c>
      <c r="K805" s="11" t="str">
        <f>HYPERLINK("https://www.geoportal.ch/ktsg/map/34?y=2723997&amp;x=1236667&amp;scale=2500&amp;topic=coord&amp;highlight=1&amp;label=Standort|Feuerverbotsplakat","Karte")</f>
        <v>Karte</v>
      </c>
    </row>
    <row r="806" spans="1:11" x14ac:dyDescent="0.2">
      <c r="A806" s="1" t="s">
        <v>423</v>
      </c>
      <c r="B806" s="1" t="s">
        <v>62</v>
      </c>
      <c r="C806" s="1" t="s">
        <v>66</v>
      </c>
      <c r="D806" s="2">
        <v>5129</v>
      </c>
      <c r="E806" s="1" t="s">
        <v>906</v>
      </c>
      <c r="F806" s="4">
        <v>2728266</v>
      </c>
      <c r="G806" s="4">
        <v>1239650</v>
      </c>
      <c r="H806" s="2">
        <v>0</v>
      </c>
      <c r="I806" s="5">
        <v>1</v>
      </c>
      <c r="J806" s="5">
        <v>0</v>
      </c>
      <c r="K806" s="11" t="str">
        <f>HYPERLINK("https://www.geoportal.ch/ktsg/map/34?y=2728266&amp;x=1239650&amp;scale=2500&amp;topic=coord&amp;highlight=1&amp;label=Standort|Feuerverbotsplakat","Karte")</f>
        <v>Karte</v>
      </c>
    </row>
    <row r="807" spans="1:11" x14ac:dyDescent="0.2">
      <c r="A807" s="1" t="s">
        <v>423</v>
      </c>
      <c r="B807" s="1" t="s">
        <v>62</v>
      </c>
      <c r="C807" s="1" t="s">
        <v>9</v>
      </c>
      <c r="D807" s="2">
        <v>5130</v>
      </c>
      <c r="E807" s="1" t="s">
        <v>907</v>
      </c>
      <c r="F807" s="4">
        <v>2724625</v>
      </c>
      <c r="G807" s="4">
        <v>1240060</v>
      </c>
      <c r="H807" s="2">
        <v>0</v>
      </c>
      <c r="I807" s="5">
        <v>1</v>
      </c>
      <c r="J807" s="5">
        <v>0</v>
      </c>
      <c r="K807" s="11" t="str">
        <f>HYPERLINK("https://www.geoportal.ch/ktsg/map/34?y=2724625&amp;x=1240060&amp;scale=2500&amp;topic=coord&amp;highlight=1&amp;label=Standort|Feuerverbotsplakat","Karte")</f>
        <v>Karte</v>
      </c>
    </row>
    <row r="808" spans="1:11" x14ac:dyDescent="0.2">
      <c r="A808" s="1" t="s">
        <v>423</v>
      </c>
      <c r="B808" s="1" t="s">
        <v>62</v>
      </c>
      <c r="C808" s="1" t="s">
        <v>9</v>
      </c>
      <c r="D808" s="2">
        <v>5131</v>
      </c>
      <c r="E808" s="1" t="s">
        <v>908</v>
      </c>
      <c r="F808" s="4">
        <v>2724578</v>
      </c>
      <c r="G808" s="4">
        <v>1240281</v>
      </c>
      <c r="H808" s="2">
        <v>0</v>
      </c>
      <c r="I808" s="5">
        <v>1</v>
      </c>
      <c r="J808" s="5">
        <v>0</v>
      </c>
      <c r="K808" s="11" t="str">
        <f>HYPERLINK("https://www.geoportal.ch/ktsg/map/34?y=2724578&amp;x=1240281&amp;scale=2500&amp;topic=coord&amp;highlight=1&amp;label=Standort|Feuerverbotsplakat","Karte")</f>
        <v>Karte</v>
      </c>
    </row>
    <row r="809" spans="1:11" x14ac:dyDescent="0.2">
      <c r="A809" s="1" t="s">
        <v>423</v>
      </c>
      <c r="B809" s="1" t="s">
        <v>62</v>
      </c>
      <c r="C809" s="1" t="s">
        <v>9</v>
      </c>
      <c r="D809" s="2">
        <v>5132</v>
      </c>
      <c r="E809" s="1" t="s">
        <v>909</v>
      </c>
      <c r="F809" s="4">
        <v>2724590</v>
      </c>
      <c r="G809" s="4">
        <v>1240371</v>
      </c>
      <c r="H809" s="2">
        <v>0</v>
      </c>
      <c r="I809" s="5">
        <v>1</v>
      </c>
      <c r="J809" s="5">
        <v>0</v>
      </c>
      <c r="K809" s="11" t="str">
        <f>HYPERLINK("https://www.geoportal.ch/ktsg/map/34?y=2724590&amp;x=1240371&amp;scale=2500&amp;topic=coord&amp;highlight=1&amp;label=Standort|Feuerverbotsplakat","Karte")</f>
        <v>Karte</v>
      </c>
    </row>
    <row r="810" spans="1:11" x14ac:dyDescent="0.2">
      <c r="A810" s="1" t="s">
        <v>423</v>
      </c>
      <c r="B810" s="1" t="s">
        <v>62</v>
      </c>
      <c r="C810" s="1" t="s">
        <v>9</v>
      </c>
      <c r="D810" s="2">
        <v>5133</v>
      </c>
      <c r="E810" s="1" t="s">
        <v>910</v>
      </c>
      <c r="F810" s="4">
        <v>2724744</v>
      </c>
      <c r="G810" s="4">
        <v>1240429</v>
      </c>
      <c r="H810" s="2">
        <v>0</v>
      </c>
      <c r="I810" s="5">
        <v>1</v>
      </c>
      <c r="J810" s="5">
        <v>0</v>
      </c>
      <c r="K810" s="11" t="str">
        <f>HYPERLINK("https://www.geoportal.ch/ktsg/map/34?y=2724744&amp;x=1240429&amp;scale=2500&amp;topic=coord&amp;highlight=1&amp;label=Standort|Feuerverbotsplakat","Karte")</f>
        <v>Karte</v>
      </c>
    </row>
    <row r="811" spans="1:11" x14ac:dyDescent="0.2">
      <c r="A811" s="1" t="s">
        <v>423</v>
      </c>
      <c r="B811" s="1" t="s">
        <v>65</v>
      </c>
      <c r="C811" s="1" t="s">
        <v>66</v>
      </c>
      <c r="D811" s="2">
        <v>5134</v>
      </c>
      <c r="E811" s="1" t="s">
        <v>911</v>
      </c>
      <c r="F811" s="4">
        <v>2718970</v>
      </c>
      <c r="G811" s="4">
        <v>1241400</v>
      </c>
      <c r="H811" s="2">
        <v>0</v>
      </c>
      <c r="I811" s="5">
        <v>1</v>
      </c>
      <c r="J811" s="5">
        <v>0</v>
      </c>
      <c r="K811" s="11" t="str">
        <f>HYPERLINK("https://www.geoportal.ch/ktsg/map/34?y=2718970&amp;x=1241400&amp;scale=2500&amp;topic=coord&amp;highlight=1&amp;label=Standort|Feuerverbotsplakat","Karte")</f>
        <v>Karte</v>
      </c>
    </row>
    <row r="812" spans="1:11" x14ac:dyDescent="0.2">
      <c r="A812" s="1" t="s">
        <v>423</v>
      </c>
      <c r="B812" s="1" t="s">
        <v>54</v>
      </c>
      <c r="C812" s="1" t="s">
        <v>9</v>
      </c>
      <c r="D812" s="2">
        <v>5135</v>
      </c>
      <c r="E812" s="1" t="s">
        <v>915</v>
      </c>
      <c r="F812" s="4">
        <v>2742304</v>
      </c>
      <c r="G812" s="4">
        <v>1231305</v>
      </c>
      <c r="H812" s="2">
        <v>0</v>
      </c>
      <c r="I812" s="5">
        <v>1</v>
      </c>
      <c r="J812" s="5">
        <v>0</v>
      </c>
      <c r="K812" s="11" t="str">
        <f>HYPERLINK("https://www.geoportal.ch/ktsg/map/34?y=2742304&amp;x=1231305&amp;scale=2500&amp;topic=coord&amp;highlight=1&amp;label=Standort|Feuerverbotsplakat","Karte")</f>
        <v>Karte</v>
      </c>
    </row>
  </sheetData>
  <autoFilter ref="A1:K812"/>
  <sortState ref="B2:O805">
    <sortCondition ref="B2:B805"/>
    <sortCondition ref="C2:C805"/>
  </sortState>
  <printOptions gridLines="1"/>
  <pageMargins left="0.78740157480314965" right="0.78740157480314965" top="0.98425196850393704" bottom="0.98425196850393704" header="0.51181102362204722" footer="0.51181102362204722"/>
  <pageSetup paperSize="9" scale="61" fitToHeight="0" orientation="landscape" r:id="rId1"/>
  <headerFooter alignWithMargins="0">
    <oddHeader>&amp;L&amp;"Arial,Standard"&amp;11Aufhängen der Feuerverbotstafeln bei Feuerverbot im Wald und in Waldesnähe&amp;R&amp;"Arial,Standard"&amp;11Waldbrandinformation Kanton St.Gallen</oddHeader>
    <oddFooter>&amp;L© Kantonsforstamt&amp;C&amp;P / &amp;N&amp;R&amp;F,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Liste</vt:lpstr>
      <vt:lpstr>Liste!Druckbereich</vt:lpstr>
      <vt:lpstr>Liste!Drucktitel</vt:lpstr>
      <vt:lpstr>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Hässig Jörg VD-KFA</dc:creator>
  <cp:lastModifiedBy>Baumann, Thomas</cp:lastModifiedBy>
  <cp:lastPrinted>2020-07-23T13:35:05Z</cp:lastPrinted>
  <dcterms:created xsi:type="dcterms:W3CDTF">2018-07-25T09:23:01Z</dcterms:created>
  <dcterms:modified xsi:type="dcterms:W3CDTF">2024-01-23T10:17:32Z</dcterms:modified>
</cp:coreProperties>
</file>