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\\pu1.uktsg.ch\User\Userhomes_P\iaa9495\Desktop\"/>
    </mc:Choice>
  </mc:AlternateContent>
  <xr:revisionPtr revIDLastSave="0" documentId="8_{49E80BFA-9BC5-437A-BD2F-94B1598AE115}" xr6:coauthVersionLast="47" xr6:coauthVersionMax="47" xr10:uidLastSave="{00000000-0000-0000-0000-000000000000}"/>
  <workbookProtection workbookAlgorithmName="SHA-512" workbookHashValue="6bjt3c1BW9TfPXoeqGieaSxz14eUtDK7oJY78T1N0Uteo7L+XECoRCJUMdxP1ray7emU+LXZYPqTGigHJxpeEg==" workbookSaltValue="u7BxyZHm4tzRGYTFx8955Q==" workbookSpinCount="100000" lockStructure="1"/>
  <bookViews>
    <workbookView xWindow="28680" yWindow="-120" windowWidth="29040" windowHeight="15720" firstSheet="6" activeTab="6" xr2:uid="{00000000-000D-0000-FFFF-FFFF00000000}"/>
  </bookViews>
  <sheets>
    <sheet name="Ressourcenausgleich Basis" sheetId="1" state="hidden" r:id="rId1"/>
    <sheet name="SL Weite Basis" sheetId="10" state="hidden" r:id="rId2"/>
    <sheet name="SL Schule Basis" sheetId="9" state="hidden" r:id="rId3"/>
    <sheet name="SL Sozio Basis" sheetId="11" state="hidden" r:id="rId4"/>
    <sheet name="SL Stadt SG Basis" sheetId="8" state="hidden" r:id="rId5"/>
    <sheet name="Total" sheetId="19" state="hidden" r:id="rId6"/>
    <sheet name="Finanzausgleichsbeiträge" sheetId="14" r:id="rId7"/>
    <sheet name="Details Ressourcenausgleich" sheetId="13" r:id="rId8"/>
    <sheet name="Details SL Weite" sheetId="15" r:id="rId9"/>
    <sheet name="Details SL Schule" sheetId="17" r:id="rId10"/>
    <sheet name="Details SL Sozio" sheetId="16" r:id="rId11"/>
    <sheet name="Details SL Stadt SG" sheetId="18" r:id="rId12"/>
  </sheets>
  <definedNames>
    <definedName name="_xlnm.Print_Area" localSheetId="5">Total!$A$5:$H$83,Total!#REF!,Total!#REF!,Total!#REF!,Total!#REF!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9" l="1"/>
  <c r="D33" i="9"/>
  <c r="C41" i="17" l="1"/>
  <c r="C40" i="17"/>
  <c r="C31" i="17"/>
  <c r="C30" i="17"/>
  <c r="BH58" i="1" l="1"/>
  <c r="BH53" i="1"/>
  <c r="BH48" i="1"/>
  <c r="BH39" i="1"/>
  <c r="BH41" i="1" s="1"/>
  <c r="BH32" i="1"/>
  <c r="BH26" i="1"/>
  <c r="BH17" i="1"/>
  <c r="BH19" i="1" l="1"/>
  <c r="BH33" i="9"/>
  <c r="BH20" i="9"/>
  <c r="BH12" i="9"/>
  <c r="BH41" i="9" s="1"/>
  <c r="BH39" i="10"/>
  <c r="BH12" i="10"/>
  <c r="BH29" i="10" s="1"/>
  <c r="BH31" i="10" s="1"/>
  <c r="BH33" i="10" s="1"/>
  <c r="BH31" i="9" l="1"/>
  <c r="BH41" i="10"/>
  <c r="BH46" i="10"/>
  <c r="BH48" i="10" s="1"/>
  <c r="BH50" i="10" s="1"/>
  <c r="BH56" i="10"/>
  <c r="BH20" i="10"/>
  <c r="BH22" i="10" s="1"/>
  <c r="BH24" i="10" s="1"/>
  <c r="BH58" i="10" l="1"/>
  <c r="BH70" i="10" s="1"/>
  <c r="BH12" i="11"/>
  <c r="BH44" i="11" s="1"/>
  <c r="BH22" i="11" l="1"/>
  <c r="BH33" i="11"/>
  <c r="BH109" i="1"/>
  <c r="BH135" i="1" s="1"/>
  <c r="BH104" i="1"/>
  <c r="BH134" i="1" s="1"/>
  <c r="BH83" i="1"/>
  <c r="BH131" i="1" s="1"/>
  <c r="BH116" i="1"/>
  <c r="BH117" i="1"/>
  <c r="BH119" i="1"/>
  <c r="BH120" i="1"/>
  <c r="BH121" i="1"/>
  <c r="BH90" i="1"/>
  <c r="BH92" i="1" s="1"/>
  <c r="BH77" i="1"/>
  <c r="BH130" i="1" s="1"/>
  <c r="BH99" i="1" l="1"/>
  <c r="BH133" i="1" s="1"/>
  <c r="BH68" i="1"/>
  <c r="BH70" i="1" s="1"/>
  <c r="B13" i="18" l="1"/>
  <c r="B14" i="18"/>
  <c r="B16" i="18"/>
  <c r="B17" i="18"/>
  <c r="B19" i="18"/>
  <c r="B11" i="18"/>
  <c r="B16" i="16"/>
  <c r="B18" i="16"/>
  <c r="B20" i="16"/>
  <c r="B22" i="16"/>
  <c r="B23" i="16"/>
  <c r="B25" i="16"/>
  <c r="B28" i="16"/>
  <c r="B30" i="16"/>
  <c r="B31" i="16"/>
  <c r="B33" i="16"/>
  <c r="B34" i="16"/>
  <c r="B36" i="16"/>
  <c r="B39" i="16"/>
  <c r="B41" i="16"/>
  <c r="B42" i="16"/>
  <c r="B44" i="16"/>
  <c r="B45" i="16"/>
  <c r="B47" i="16"/>
  <c r="B50" i="16"/>
  <c r="B52" i="16"/>
  <c r="B53" i="16"/>
  <c r="B54" i="16"/>
  <c r="B56" i="16"/>
  <c r="B11" i="16"/>
  <c r="B15" i="17"/>
  <c r="B16" i="17"/>
  <c r="B18" i="17"/>
  <c r="B19" i="17"/>
  <c r="B20" i="17"/>
  <c r="B21" i="17"/>
  <c r="B23" i="17"/>
  <c r="B26" i="17"/>
  <c r="B28" i="17"/>
  <c r="B30" i="17"/>
  <c r="B31" i="17"/>
  <c r="B32" i="17"/>
  <c r="B33" i="17"/>
  <c r="B34" i="17"/>
  <c r="B36" i="17"/>
  <c r="B38" i="17"/>
  <c r="B40" i="17"/>
  <c r="B41" i="17"/>
  <c r="B42" i="17"/>
  <c r="B44" i="17"/>
  <c r="B46" i="17"/>
  <c r="B48" i="17"/>
  <c r="B50" i="17"/>
  <c r="B52" i="17"/>
  <c r="B53" i="17"/>
  <c r="B56" i="17"/>
  <c r="B58" i="17"/>
  <c r="B59" i="17"/>
  <c r="B61" i="17"/>
  <c r="B63" i="17"/>
  <c r="B65" i="17"/>
  <c r="B11" i="17"/>
  <c r="B16" i="15"/>
  <c r="B18" i="15"/>
  <c r="B20" i="15"/>
  <c r="B21" i="15"/>
  <c r="B22" i="15"/>
  <c r="B23" i="15"/>
  <c r="B25" i="15"/>
  <c r="B27" i="15"/>
  <c r="B29" i="15"/>
  <c r="B30" i="15"/>
  <c r="B31" i="15"/>
  <c r="B32" i="15"/>
  <c r="B34" i="15"/>
  <c r="B36" i="15"/>
  <c r="B38" i="15"/>
  <c r="B39" i="15"/>
  <c r="B40" i="15"/>
  <c r="B42" i="15"/>
  <c r="B44" i="15"/>
  <c r="B46" i="15"/>
  <c r="B47" i="15"/>
  <c r="B48" i="15"/>
  <c r="B49" i="15"/>
  <c r="B51" i="15"/>
  <c r="B53" i="15"/>
  <c r="B55" i="15"/>
  <c r="B57" i="15"/>
  <c r="B59" i="15"/>
  <c r="B61" i="15"/>
  <c r="B63" i="15"/>
  <c r="B65" i="15"/>
  <c r="B66" i="15"/>
  <c r="B69" i="15"/>
  <c r="B71" i="15"/>
  <c r="B73" i="15"/>
  <c r="B75" i="15"/>
  <c r="B11" i="15"/>
  <c r="B144" i="13"/>
  <c r="B145" i="13"/>
  <c r="B148" i="13"/>
  <c r="B150" i="13"/>
  <c r="B152" i="13"/>
  <c r="B113" i="13"/>
  <c r="B115" i="13"/>
  <c r="B116" i="13"/>
  <c r="B117" i="13"/>
  <c r="B118" i="13"/>
  <c r="B119" i="13"/>
  <c r="B120" i="13"/>
  <c r="B121" i="13"/>
  <c r="B122" i="13"/>
  <c r="B123" i="13"/>
  <c r="B125" i="13"/>
  <c r="B127" i="13"/>
  <c r="B129" i="13"/>
  <c r="B130" i="13"/>
  <c r="B131" i="13"/>
  <c r="B132" i="13"/>
  <c r="B133" i="13"/>
  <c r="B134" i="13"/>
  <c r="B135" i="13"/>
  <c r="B136" i="13"/>
  <c r="B137" i="13"/>
  <c r="B139" i="13"/>
  <c r="B141" i="13"/>
  <c r="B97" i="13"/>
  <c r="B98" i="13"/>
  <c r="B99" i="13"/>
  <c r="B100" i="13"/>
  <c r="B102" i="13"/>
  <c r="B103" i="13"/>
  <c r="B104" i="13"/>
  <c r="B105" i="13"/>
  <c r="B107" i="13"/>
  <c r="B108" i="13"/>
  <c r="B109" i="13"/>
  <c r="B110" i="13"/>
  <c r="B84" i="13"/>
  <c r="B64" i="13"/>
  <c r="B65" i="13"/>
  <c r="B67" i="13"/>
  <c r="B68" i="13"/>
  <c r="B69" i="13"/>
  <c r="B71" i="13"/>
  <c r="B73" i="13"/>
  <c r="B75" i="13"/>
  <c r="B76" i="13"/>
  <c r="B77" i="13"/>
  <c r="B78" i="13"/>
  <c r="B80" i="13"/>
  <c r="B81" i="13"/>
  <c r="B82" i="13"/>
  <c r="B83" i="13"/>
  <c r="B86" i="13"/>
  <c r="B87" i="13"/>
  <c r="B89" i="13"/>
  <c r="B90" i="13"/>
  <c r="B91" i="13"/>
  <c r="B93" i="13"/>
  <c r="B95" i="13"/>
  <c r="B46" i="13"/>
  <c r="B47" i="13"/>
  <c r="B48" i="13"/>
  <c r="B49" i="13"/>
  <c r="B51" i="13"/>
  <c r="B52" i="13"/>
  <c r="B53" i="13"/>
  <c r="B54" i="13"/>
  <c r="B56" i="13"/>
  <c r="B57" i="13"/>
  <c r="B58" i="13"/>
  <c r="B59" i="13"/>
  <c r="B62" i="13"/>
  <c r="B24" i="13"/>
  <c r="B25" i="13"/>
  <c r="B26" i="13"/>
  <c r="B27" i="13"/>
  <c r="B29" i="13"/>
  <c r="B30" i="13"/>
  <c r="B31" i="13"/>
  <c r="B32" i="13"/>
  <c r="B33" i="13"/>
  <c r="B35" i="13"/>
  <c r="B36" i="13"/>
  <c r="B38" i="13"/>
  <c r="B39" i="13"/>
  <c r="B40" i="13"/>
  <c r="B42" i="13"/>
  <c r="B44" i="13"/>
  <c r="B13" i="13"/>
  <c r="B14" i="13"/>
  <c r="B16" i="13"/>
  <c r="B17" i="13"/>
  <c r="B18" i="13"/>
  <c r="B20" i="13"/>
  <c r="B22" i="13"/>
  <c r="B11" i="13"/>
  <c r="D12" i="11" l="1"/>
  <c r="D44" i="11" l="1"/>
  <c r="D33" i="11"/>
  <c r="C18" i="8" l="1"/>
  <c r="G8" i="19" s="1"/>
  <c r="G83" i="19" l="1"/>
  <c r="D9" i="13" l="1"/>
  <c r="D16" i="13" s="1"/>
  <c r="C9" i="18"/>
  <c r="C17" i="18" s="1"/>
  <c r="C124" i="1"/>
  <c r="C12" i="9" s="1"/>
  <c r="C14" i="9"/>
  <c r="C15" i="17" s="1"/>
  <c r="C17" i="9"/>
  <c r="C18" i="17" s="1"/>
  <c r="C18" i="9"/>
  <c r="C19" i="17" s="1"/>
  <c r="C19" i="9"/>
  <c r="C20" i="17" s="1"/>
  <c r="D9" i="17"/>
  <c r="AS20" i="9"/>
  <c r="AS12" i="9"/>
  <c r="AS41" i="9" s="1"/>
  <c r="AS33" i="9"/>
  <c r="D12" i="9"/>
  <c r="E12" i="9"/>
  <c r="E41" i="9" s="1"/>
  <c r="E33" i="9"/>
  <c r="F12" i="9"/>
  <c r="F33" i="9"/>
  <c r="G12" i="9"/>
  <c r="G33" i="9"/>
  <c r="H12" i="9"/>
  <c r="H31" i="9" s="1"/>
  <c r="H33" i="9"/>
  <c r="I12" i="9"/>
  <c r="I41" i="9" s="1"/>
  <c r="I33" i="9"/>
  <c r="J12" i="9"/>
  <c r="J41" i="9" s="1"/>
  <c r="J33" i="9"/>
  <c r="K12" i="9"/>
  <c r="K31" i="9" s="1"/>
  <c r="K33" i="9"/>
  <c r="L12" i="9"/>
  <c r="L31" i="9" s="1"/>
  <c r="L33" i="9"/>
  <c r="M12" i="9"/>
  <c r="M31" i="9" s="1"/>
  <c r="M33" i="9"/>
  <c r="N12" i="9"/>
  <c r="N33" i="9"/>
  <c r="O12" i="9"/>
  <c r="O33" i="9"/>
  <c r="P12" i="9"/>
  <c r="P31" i="9" s="1"/>
  <c r="P33" i="9"/>
  <c r="Q12" i="9"/>
  <c r="Q31" i="9" s="1"/>
  <c r="Q33" i="9"/>
  <c r="R12" i="9"/>
  <c r="R33" i="9"/>
  <c r="S12" i="9"/>
  <c r="S31" i="9" s="1"/>
  <c r="S33" i="9"/>
  <c r="T12" i="9"/>
  <c r="T41" i="9" s="1"/>
  <c r="T33" i="9"/>
  <c r="U12" i="9"/>
  <c r="U41" i="9" s="1"/>
  <c r="U33" i="9"/>
  <c r="V12" i="9"/>
  <c r="V33" i="9"/>
  <c r="W12" i="9"/>
  <c r="W33" i="9"/>
  <c r="X12" i="9"/>
  <c r="X31" i="9" s="1"/>
  <c r="X33" i="9"/>
  <c r="Y12" i="9"/>
  <c r="Y31" i="9" s="1"/>
  <c r="Y33" i="9"/>
  <c r="Z12" i="9"/>
  <c r="Z41" i="9" s="1"/>
  <c r="Z33" i="9"/>
  <c r="AA12" i="9"/>
  <c r="AA31" i="9" s="1"/>
  <c r="AA33" i="9"/>
  <c r="AB12" i="9"/>
  <c r="AB31" i="9" s="1"/>
  <c r="AB33" i="9"/>
  <c r="AC12" i="9"/>
  <c r="AC31" i="9" s="1"/>
  <c r="AC33" i="9"/>
  <c r="AD12" i="9"/>
  <c r="AD33" i="9"/>
  <c r="AE12" i="9"/>
  <c r="AE33" i="9"/>
  <c r="AF12" i="9"/>
  <c r="AF31" i="9" s="1"/>
  <c r="AF33" i="9"/>
  <c r="AG12" i="9"/>
  <c r="AG31" i="9" s="1"/>
  <c r="AG33" i="9"/>
  <c r="AH12" i="9"/>
  <c r="AH33" i="9"/>
  <c r="AI12" i="9"/>
  <c r="AI31" i="9" s="1"/>
  <c r="AI33" i="9"/>
  <c r="AJ12" i="9"/>
  <c r="AJ31" i="9" s="1"/>
  <c r="AJ33" i="9"/>
  <c r="AK12" i="9"/>
  <c r="AK31" i="9" s="1"/>
  <c r="AK33" i="9"/>
  <c r="AL12" i="9"/>
  <c r="AL33" i="9"/>
  <c r="AM12" i="9"/>
  <c r="AM33" i="9"/>
  <c r="AN12" i="9"/>
  <c r="AN31" i="9" s="1"/>
  <c r="AN33" i="9"/>
  <c r="AO12" i="9"/>
  <c r="AO41" i="9" s="1"/>
  <c r="AO33" i="9"/>
  <c r="AP12" i="9"/>
  <c r="AP41" i="9" s="1"/>
  <c r="AP33" i="9"/>
  <c r="AQ12" i="9"/>
  <c r="AQ31" i="9" s="1"/>
  <c r="AQ33" i="9"/>
  <c r="AR12" i="9"/>
  <c r="AR31" i="9" s="1"/>
  <c r="AR33" i="9"/>
  <c r="AT12" i="9"/>
  <c r="AT31" i="9" s="1"/>
  <c r="AT33" i="9"/>
  <c r="AU12" i="9"/>
  <c r="AU31" i="9" s="1"/>
  <c r="AU33" i="9"/>
  <c r="AV12" i="9"/>
  <c r="AV41" i="9" s="1"/>
  <c r="AV33" i="9"/>
  <c r="AW12" i="9"/>
  <c r="AW33" i="9"/>
  <c r="AX12" i="9"/>
  <c r="AX31" i="9" s="1"/>
  <c r="AX33" i="9"/>
  <c r="AY12" i="9"/>
  <c r="AY31" i="9" s="1"/>
  <c r="AY33" i="9"/>
  <c r="AZ12" i="9"/>
  <c r="AZ31" i="9" s="1"/>
  <c r="AZ33" i="9"/>
  <c r="BA12" i="9"/>
  <c r="BA33" i="9"/>
  <c r="BB12" i="9"/>
  <c r="BB31" i="9" s="1"/>
  <c r="BB33" i="9"/>
  <c r="BC12" i="9"/>
  <c r="BC31" i="9" s="1"/>
  <c r="BC33" i="9"/>
  <c r="BD12" i="9"/>
  <c r="BD41" i="9" s="1"/>
  <c r="BD33" i="9"/>
  <c r="BE12" i="9"/>
  <c r="BE41" i="9" s="1"/>
  <c r="BE33" i="9"/>
  <c r="BF12" i="9"/>
  <c r="BF31" i="9" s="1"/>
  <c r="BF33" i="9"/>
  <c r="BG12" i="9"/>
  <c r="BG31" i="9" s="1"/>
  <c r="BG33" i="9"/>
  <c r="BI12" i="9"/>
  <c r="BI31" i="9" s="1"/>
  <c r="BI33" i="9"/>
  <c r="BJ12" i="9"/>
  <c r="BJ41" i="9" s="1"/>
  <c r="BJ33" i="9"/>
  <c r="BK12" i="9"/>
  <c r="BK33" i="9"/>
  <c r="BL12" i="9"/>
  <c r="BL31" i="9" s="1"/>
  <c r="BL33" i="9"/>
  <c r="BM12" i="9"/>
  <c r="BM31" i="9" s="1"/>
  <c r="BM33" i="9"/>
  <c r="BN12" i="9"/>
  <c r="BN31" i="9" s="1"/>
  <c r="BN33" i="9"/>
  <c r="BO12" i="9"/>
  <c r="BO33" i="9"/>
  <c r="BP12" i="9"/>
  <c r="BP31" i="9" s="1"/>
  <c r="BP33" i="9"/>
  <c r="BQ12" i="9"/>
  <c r="BQ41" i="9" s="1"/>
  <c r="BQ33" i="9"/>
  <c r="BR12" i="9"/>
  <c r="BR41" i="9" s="1"/>
  <c r="BR33" i="9"/>
  <c r="BS12" i="9"/>
  <c r="BS41" i="9" s="1"/>
  <c r="BS33" i="9"/>
  <c r="BT12" i="9"/>
  <c r="BT31" i="9" s="1"/>
  <c r="BT33" i="9"/>
  <c r="BU12" i="9"/>
  <c r="BU31" i="9" s="1"/>
  <c r="BU33" i="9"/>
  <c r="BV12" i="9"/>
  <c r="BV31" i="9" s="1"/>
  <c r="BV33" i="9"/>
  <c r="BW12" i="9"/>
  <c r="BW33" i="9"/>
  <c r="BX12" i="9"/>
  <c r="BX33" i="9"/>
  <c r="BY12" i="9"/>
  <c r="BY41" i="9" s="1"/>
  <c r="BY33" i="9"/>
  <c r="BZ12" i="9"/>
  <c r="BZ41" i="9" s="1"/>
  <c r="BZ33" i="9"/>
  <c r="C15" i="9"/>
  <c r="C16" i="17" s="1"/>
  <c r="D17" i="1"/>
  <c r="E17" i="1"/>
  <c r="E19" i="1" s="1"/>
  <c r="F17" i="1"/>
  <c r="F19" i="1" s="1"/>
  <c r="G17" i="1"/>
  <c r="G19" i="1" s="1"/>
  <c r="H17" i="1"/>
  <c r="I17" i="1"/>
  <c r="I19" i="1" s="1"/>
  <c r="J17" i="1"/>
  <c r="J19" i="1" s="1"/>
  <c r="K17" i="1"/>
  <c r="K19" i="1" s="1"/>
  <c r="L17" i="1"/>
  <c r="L19" i="1" s="1"/>
  <c r="M17" i="1"/>
  <c r="M19" i="1" s="1"/>
  <c r="N17" i="1"/>
  <c r="N19" i="1" s="1"/>
  <c r="O17" i="1"/>
  <c r="O19" i="1" s="1"/>
  <c r="P17" i="1"/>
  <c r="P19" i="1" s="1"/>
  <c r="Q17" i="1"/>
  <c r="Q19" i="1" s="1"/>
  <c r="R17" i="1"/>
  <c r="R19" i="1" s="1"/>
  <c r="S17" i="1"/>
  <c r="S19" i="1" s="1"/>
  <c r="T17" i="1"/>
  <c r="T19" i="1" s="1"/>
  <c r="U17" i="1"/>
  <c r="U19" i="1" s="1"/>
  <c r="V17" i="1"/>
  <c r="V19" i="1" s="1"/>
  <c r="W17" i="1"/>
  <c r="W19" i="1" s="1"/>
  <c r="X17" i="1"/>
  <c r="Y17" i="1"/>
  <c r="Y19" i="1" s="1"/>
  <c r="Z17" i="1"/>
  <c r="Z19" i="1" s="1"/>
  <c r="AA17" i="1"/>
  <c r="AA19" i="1" s="1"/>
  <c r="AB17" i="1"/>
  <c r="AB19" i="1" s="1"/>
  <c r="AC17" i="1"/>
  <c r="AC19" i="1" s="1"/>
  <c r="AD17" i="1"/>
  <c r="AD19" i="1" s="1"/>
  <c r="AE17" i="1"/>
  <c r="AE19" i="1" s="1"/>
  <c r="AF17" i="1"/>
  <c r="AF19" i="1" s="1"/>
  <c r="AG17" i="1"/>
  <c r="AG19" i="1" s="1"/>
  <c r="AH17" i="1"/>
  <c r="AH19" i="1" s="1"/>
  <c r="AI17" i="1"/>
  <c r="AI19" i="1" s="1"/>
  <c r="AJ17" i="1"/>
  <c r="AJ19" i="1" s="1"/>
  <c r="AK17" i="1"/>
  <c r="AK19" i="1" s="1"/>
  <c r="AL17" i="1"/>
  <c r="AL19" i="1" s="1"/>
  <c r="AM17" i="1"/>
  <c r="AM19" i="1" s="1"/>
  <c r="AN17" i="1"/>
  <c r="AO17" i="1"/>
  <c r="AO19" i="1" s="1"/>
  <c r="AP17" i="1"/>
  <c r="AP19" i="1" s="1"/>
  <c r="AQ17" i="1"/>
  <c r="AQ19" i="1" s="1"/>
  <c r="AR17" i="1"/>
  <c r="AR19" i="1" s="1"/>
  <c r="AS17" i="1"/>
  <c r="AS19" i="1" s="1"/>
  <c r="AT17" i="1"/>
  <c r="AT19" i="1" s="1"/>
  <c r="AU17" i="1"/>
  <c r="AU19" i="1" s="1"/>
  <c r="AV17" i="1"/>
  <c r="AV19" i="1" s="1"/>
  <c r="AW17" i="1"/>
  <c r="AW19" i="1" s="1"/>
  <c r="AX17" i="1"/>
  <c r="AX19" i="1" s="1"/>
  <c r="AY17" i="1"/>
  <c r="AY19" i="1" s="1"/>
  <c r="AZ17" i="1"/>
  <c r="AZ19" i="1" s="1"/>
  <c r="BA17" i="1"/>
  <c r="BA19" i="1" s="1"/>
  <c r="BB17" i="1"/>
  <c r="BB19" i="1" s="1"/>
  <c r="BC17" i="1"/>
  <c r="BC19" i="1" s="1"/>
  <c r="BD17" i="1"/>
  <c r="BE17" i="1"/>
  <c r="BE19" i="1" s="1"/>
  <c r="BF17" i="1"/>
  <c r="BF19" i="1" s="1"/>
  <c r="BG17" i="1"/>
  <c r="BG19" i="1" s="1"/>
  <c r="BI17" i="1"/>
  <c r="BI19" i="1" s="1"/>
  <c r="BJ17" i="1"/>
  <c r="BJ19" i="1" s="1"/>
  <c r="BK17" i="1"/>
  <c r="BK19" i="1" s="1"/>
  <c r="BL17" i="1"/>
  <c r="BL19" i="1" s="1"/>
  <c r="BM17" i="1"/>
  <c r="BN17" i="1"/>
  <c r="BN19" i="1" s="1"/>
  <c r="BO17" i="1"/>
  <c r="BO19" i="1" s="1"/>
  <c r="BP17" i="1"/>
  <c r="BP19" i="1" s="1"/>
  <c r="BQ17" i="1"/>
  <c r="BR17" i="1"/>
  <c r="BR19" i="1" s="1"/>
  <c r="BS17" i="1"/>
  <c r="BS19" i="1" s="1"/>
  <c r="BT17" i="1"/>
  <c r="BT19" i="1" s="1"/>
  <c r="BU17" i="1"/>
  <c r="BV17" i="1"/>
  <c r="BV19" i="1" s="1"/>
  <c r="BW17" i="1"/>
  <c r="BW19" i="1" s="1"/>
  <c r="BX17" i="1"/>
  <c r="BX19" i="1" s="1"/>
  <c r="BY17" i="1"/>
  <c r="BY19" i="1" s="1"/>
  <c r="BZ17" i="1"/>
  <c r="BZ19" i="1" s="1"/>
  <c r="D26" i="1"/>
  <c r="D116" i="1" s="1"/>
  <c r="D32" i="1"/>
  <c r="D117" i="1" s="1"/>
  <c r="D39" i="1"/>
  <c r="D41" i="1" s="1"/>
  <c r="E39" i="1"/>
  <c r="E41" i="1" s="1"/>
  <c r="F39" i="1"/>
  <c r="F41" i="1" s="1"/>
  <c r="G39" i="1"/>
  <c r="H39" i="1"/>
  <c r="H41" i="1" s="1"/>
  <c r="I39" i="1"/>
  <c r="I41" i="1" s="1"/>
  <c r="J39" i="1"/>
  <c r="J41" i="1" s="1"/>
  <c r="K39" i="1"/>
  <c r="K41" i="1" s="1"/>
  <c r="L39" i="1"/>
  <c r="L41" i="1" s="1"/>
  <c r="M39" i="1"/>
  <c r="M41" i="1" s="1"/>
  <c r="N39" i="1"/>
  <c r="O39" i="1"/>
  <c r="O41" i="1" s="1"/>
  <c r="P39" i="1"/>
  <c r="P41" i="1" s="1"/>
  <c r="Q39" i="1"/>
  <c r="Q41" i="1" s="1"/>
  <c r="R39" i="1"/>
  <c r="R41" i="1" s="1"/>
  <c r="S39" i="1"/>
  <c r="S41" i="1" s="1"/>
  <c r="T39" i="1"/>
  <c r="T41" i="1" s="1"/>
  <c r="U39" i="1"/>
  <c r="U41" i="1" s="1"/>
  <c r="V39" i="1"/>
  <c r="V41" i="1" s="1"/>
  <c r="W39" i="1"/>
  <c r="W41" i="1" s="1"/>
  <c r="X39" i="1"/>
  <c r="X41" i="1" s="1"/>
  <c r="Y39" i="1"/>
  <c r="Y41" i="1" s="1"/>
  <c r="Z39" i="1"/>
  <c r="Z41" i="1" s="1"/>
  <c r="AA39" i="1"/>
  <c r="AA41" i="1" s="1"/>
  <c r="AB39" i="1"/>
  <c r="AB41" i="1" s="1"/>
  <c r="AC39" i="1"/>
  <c r="AC41" i="1" s="1"/>
  <c r="AD39" i="1"/>
  <c r="AD41" i="1" s="1"/>
  <c r="AE39" i="1"/>
  <c r="AE41" i="1" s="1"/>
  <c r="AF39" i="1"/>
  <c r="AF41" i="1" s="1"/>
  <c r="AG39" i="1"/>
  <c r="AG41" i="1" s="1"/>
  <c r="AH39" i="1"/>
  <c r="AH41" i="1" s="1"/>
  <c r="AI39" i="1"/>
  <c r="AI41" i="1" s="1"/>
  <c r="AJ39" i="1"/>
  <c r="AJ41" i="1" s="1"/>
  <c r="AK39" i="1"/>
  <c r="AK41" i="1" s="1"/>
  <c r="AL39" i="1"/>
  <c r="AL41" i="1" s="1"/>
  <c r="AM39" i="1"/>
  <c r="AM41" i="1" s="1"/>
  <c r="AN39" i="1"/>
  <c r="AN41" i="1" s="1"/>
  <c r="AO39" i="1"/>
  <c r="AO41" i="1" s="1"/>
  <c r="AP39" i="1"/>
  <c r="AP41" i="1" s="1"/>
  <c r="AQ39" i="1"/>
  <c r="AQ41" i="1" s="1"/>
  <c r="AR39" i="1"/>
  <c r="AR41" i="1" s="1"/>
  <c r="AS39" i="1"/>
  <c r="AS41" i="1" s="1"/>
  <c r="AT39" i="1"/>
  <c r="AT41" i="1" s="1"/>
  <c r="AU39" i="1"/>
  <c r="AU41" i="1" s="1"/>
  <c r="AV39" i="1"/>
  <c r="AV41" i="1" s="1"/>
  <c r="AW39" i="1"/>
  <c r="AW41" i="1" s="1"/>
  <c r="AX39" i="1"/>
  <c r="AX41" i="1" s="1"/>
  <c r="AY39" i="1"/>
  <c r="AY41" i="1" s="1"/>
  <c r="AZ39" i="1"/>
  <c r="AZ41" i="1" s="1"/>
  <c r="BA39" i="1"/>
  <c r="BA41" i="1" s="1"/>
  <c r="BB39" i="1"/>
  <c r="BB41" i="1" s="1"/>
  <c r="BC39" i="1"/>
  <c r="BC41" i="1" s="1"/>
  <c r="BD39" i="1"/>
  <c r="BD41" i="1" s="1"/>
  <c r="BE39" i="1"/>
  <c r="BE41" i="1" s="1"/>
  <c r="BF39" i="1"/>
  <c r="BF41" i="1" s="1"/>
  <c r="BG39" i="1"/>
  <c r="BG41" i="1" s="1"/>
  <c r="BI39" i="1"/>
  <c r="BI41" i="1" s="1"/>
  <c r="BJ39" i="1"/>
  <c r="BJ41" i="1" s="1"/>
  <c r="BK39" i="1"/>
  <c r="BK41" i="1" s="1"/>
  <c r="BL39" i="1"/>
  <c r="BL41" i="1" s="1"/>
  <c r="BM39" i="1"/>
  <c r="BM41" i="1" s="1"/>
  <c r="BN39" i="1"/>
  <c r="BN41" i="1" s="1"/>
  <c r="BO39" i="1"/>
  <c r="BO41" i="1" s="1"/>
  <c r="BP39" i="1"/>
  <c r="BP41" i="1" s="1"/>
  <c r="BQ39" i="1"/>
  <c r="BQ41" i="1" s="1"/>
  <c r="BR39" i="1"/>
  <c r="BR41" i="1" s="1"/>
  <c r="BS39" i="1"/>
  <c r="BS41" i="1" s="1"/>
  <c r="BT39" i="1"/>
  <c r="BT41" i="1" s="1"/>
  <c r="BU39" i="1"/>
  <c r="BU41" i="1" s="1"/>
  <c r="BV39" i="1"/>
  <c r="BV41" i="1" s="1"/>
  <c r="BW39" i="1"/>
  <c r="BW41" i="1" s="1"/>
  <c r="BX39" i="1"/>
  <c r="BX41" i="1" s="1"/>
  <c r="BY39" i="1"/>
  <c r="BY41" i="1" s="1"/>
  <c r="BZ39" i="1"/>
  <c r="BZ41" i="1" s="1"/>
  <c r="N41" i="1"/>
  <c r="D48" i="1"/>
  <c r="D119" i="1" s="1"/>
  <c r="D53" i="1"/>
  <c r="D120" i="1" s="1"/>
  <c r="D58" i="1"/>
  <c r="D121" i="1" s="1"/>
  <c r="D68" i="1"/>
  <c r="D70" i="1" s="1"/>
  <c r="E68" i="1"/>
  <c r="E70" i="1" s="1"/>
  <c r="F68" i="1"/>
  <c r="F70" i="1" s="1"/>
  <c r="G68" i="1"/>
  <c r="G70" i="1" s="1"/>
  <c r="H68" i="1"/>
  <c r="H70" i="1" s="1"/>
  <c r="I68" i="1"/>
  <c r="I70" i="1" s="1"/>
  <c r="J68" i="1"/>
  <c r="J70" i="1" s="1"/>
  <c r="K68" i="1"/>
  <c r="K70" i="1" s="1"/>
  <c r="L68" i="1"/>
  <c r="L70" i="1" s="1"/>
  <c r="M68" i="1"/>
  <c r="M70" i="1" s="1"/>
  <c r="N68" i="1"/>
  <c r="N70" i="1" s="1"/>
  <c r="O68" i="1"/>
  <c r="O70" i="1" s="1"/>
  <c r="P68" i="1"/>
  <c r="P70" i="1" s="1"/>
  <c r="Q68" i="1"/>
  <c r="Q70" i="1" s="1"/>
  <c r="R68" i="1"/>
  <c r="R70" i="1"/>
  <c r="S68" i="1"/>
  <c r="S70" i="1" s="1"/>
  <c r="T68" i="1"/>
  <c r="T70" i="1" s="1"/>
  <c r="U68" i="1"/>
  <c r="U70" i="1" s="1"/>
  <c r="V68" i="1"/>
  <c r="V70" i="1" s="1"/>
  <c r="W68" i="1"/>
  <c r="W70" i="1" s="1"/>
  <c r="X68" i="1"/>
  <c r="X70" i="1" s="1"/>
  <c r="Y68" i="1"/>
  <c r="Y70" i="1" s="1"/>
  <c r="Z68" i="1"/>
  <c r="Z70" i="1" s="1"/>
  <c r="AA68" i="1"/>
  <c r="AA70" i="1" s="1"/>
  <c r="AB68" i="1"/>
  <c r="AB70" i="1" s="1"/>
  <c r="AC68" i="1"/>
  <c r="AC70" i="1"/>
  <c r="AD68" i="1"/>
  <c r="AD70" i="1" s="1"/>
  <c r="AE68" i="1"/>
  <c r="AE70" i="1" s="1"/>
  <c r="AF68" i="1"/>
  <c r="AF70" i="1" s="1"/>
  <c r="AG68" i="1"/>
  <c r="AG70" i="1" s="1"/>
  <c r="AH68" i="1"/>
  <c r="AH70" i="1" s="1"/>
  <c r="AI68" i="1"/>
  <c r="AI70" i="1" s="1"/>
  <c r="AJ68" i="1"/>
  <c r="AJ70" i="1" s="1"/>
  <c r="AK68" i="1"/>
  <c r="AK70" i="1" s="1"/>
  <c r="AL68" i="1"/>
  <c r="AL70" i="1" s="1"/>
  <c r="AM68" i="1"/>
  <c r="AM70" i="1" s="1"/>
  <c r="AN68" i="1"/>
  <c r="AN70" i="1" s="1"/>
  <c r="AO68" i="1"/>
  <c r="AO70" i="1" s="1"/>
  <c r="AP68" i="1"/>
  <c r="AP70" i="1" s="1"/>
  <c r="AQ68" i="1"/>
  <c r="AQ70" i="1" s="1"/>
  <c r="AR68" i="1"/>
  <c r="AR70" i="1" s="1"/>
  <c r="AS68" i="1"/>
  <c r="AS70" i="1" s="1"/>
  <c r="AT68" i="1"/>
  <c r="AT70" i="1" s="1"/>
  <c r="AU68" i="1"/>
  <c r="AU70" i="1" s="1"/>
  <c r="AV68" i="1"/>
  <c r="AV70" i="1" s="1"/>
  <c r="AW68" i="1"/>
  <c r="AW70" i="1" s="1"/>
  <c r="AX68" i="1"/>
  <c r="AX70" i="1" s="1"/>
  <c r="AY68" i="1"/>
  <c r="AY70" i="1" s="1"/>
  <c r="AZ68" i="1"/>
  <c r="AZ70" i="1" s="1"/>
  <c r="BA68" i="1"/>
  <c r="BA70" i="1" s="1"/>
  <c r="BB68" i="1"/>
  <c r="BB70" i="1" s="1"/>
  <c r="BC68" i="1"/>
  <c r="BC70" i="1" s="1"/>
  <c r="BD68" i="1"/>
  <c r="BD70" i="1" s="1"/>
  <c r="BE68" i="1"/>
  <c r="BE70" i="1" s="1"/>
  <c r="BF68" i="1"/>
  <c r="BF70" i="1" s="1"/>
  <c r="BG68" i="1"/>
  <c r="BG70" i="1" s="1"/>
  <c r="BI68" i="1"/>
  <c r="BI70" i="1" s="1"/>
  <c r="BJ68" i="1"/>
  <c r="BJ70" i="1" s="1"/>
  <c r="BK68" i="1"/>
  <c r="BK70" i="1" s="1"/>
  <c r="BL68" i="1"/>
  <c r="BL70" i="1" s="1"/>
  <c r="BM68" i="1"/>
  <c r="BM70" i="1" s="1"/>
  <c r="BN68" i="1"/>
  <c r="BN70" i="1" s="1"/>
  <c r="BO68" i="1"/>
  <c r="BO70" i="1" s="1"/>
  <c r="BP68" i="1"/>
  <c r="BP70" i="1" s="1"/>
  <c r="BQ68" i="1"/>
  <c r="BQ70" i="1" s="1"/>
  <c r="BR68" i="1"/>
  <c r="BR70" i="1" s="1"/>
  <c r="BS68" i="1"/>
  <c r="BS70" i="1" s="1"/>
  <c r="BT68" i="1"/>
  <c r="BT70" i="1" s="1"/>
  <c r="BU68" i="1"/>
  <c r="BU70" i="1" s="1"/>
  <c r="BV68" i="1"/>
  <c r="BV70" i="1" s="1"/>
  <c r="BW68" i="1"/>
  <c r="BW70" i="1" s="1"/>
  <c r="BX68" i="1"/>
  <c r="BX70" i="1" s="1"/>
  <c r="BY68" i="1"/>
  <c r="BY70" i="1" s="1"/>
  <c r="BZ68" i="1"/>
  <c r="BZ70" i="1" s="1"/>
  <c r="D77" i="1"/>
  <c r="D130" i="1" s="1"/>
  <c r="D83" i="1"/>
  <c r="D131" i="1" s="1"/>
  <c r="D90" i="1"/>
  <c r="D92" i="1" s="1"/>
  <c r="E90" i="1"/>
  <c r="E92" i="1" s="1"/>
  <c r="F90" i="1"/>
  <c r="F92" i="1" s="1"/>
  <c r="G90" i="1"/>
  <c r="G92" i="1" s="1"/>
  <c r="H90" i="1"/>
  <c r="H92" i="1" s="1"/>
  <c r="I90" i="1"/>
  <c r="I92" i="1" s="1"/>
  <c r="J90" i="1"/>
  <c r="J92" i="1" s="1"/>
  <c r="K90" i="1"/>
  <c r="K92" i="1" s="1"/>
  <c r="L90" i="1"/>
  <c r="L92" i="1" s="1"/>
  <c r="M90" i="1"/>
  <c r="M92" i="1" s="1"/>
  <c r="N90" i="1"/>
  <c r="N92" i="1" s="1"/>
  <c r="O90" i="1"/>
  <c r="O92" i="1" s="1"/>
  <c r="P90" i="1"/>
  <c r="P92" i="1" s="1"/>
  <c r="Q90" i="1"/>
  <c r="Q92" i="1" s="1"/>
  <c r="R90" i="1"/>
  <c r="R92" i="1" s="1"/>
  <c r="S90" i="1"/>
  <c r="S92" i="1" s="1"/>
  <c r="T90" i="1"/>
  <c r="T92" i="1" s="1"/>
  <c r="U90" i="1"/>
  <c r="U92" i="1" s="1"/>
  <c r="V90" i="1"/>
  <c r="V92" i="1" s="1"/>
  <c r="W90" i="1"/>
  <c r="W92" i="1" s="1"/>
  <c r="X90" i="1"/>
  <c r="X92" i="1" s="1"/>
  <c r="Y90" i="1"/>
  <c r="Y92" i="1" s="1"/>
  <c r="Z90" i="1"/>
  <c r="Z92" i="1" s="1"/>
  <c r="AA90" i="1"/>
  <c r="AA92" i="1" s="1"/>
  <c r="AB90" i="1"/>
  <c r="AB92" i="1" s="1"/>
  <c r="AC90" i="1"/>
  <c r="AC92" i="1" s="1"/>
  <c r="AD90" i="1"/>
  <c r="AD92" i="1" s="1"/>
  <c r="AE90" i="1"/>
  <c r="AE92" i="1" s="1"/>
  <c r="AF90" i="1"/>
  <c r="AF92" i="1" s="1"/>
  <c r="AG90" i="1"/>
  <c r="AG92" i="1" s="1"/>
  <c r="AH90" i="1"/>
  <c r="AH92" i="1" s="1"/>
  <c r="AI90" i="1"/>
  <c r="AI92" i="1" s="1"/>
  <c r="AJ90" i="1"/>
  <c r="AJ92" i="1" s="1"/>
  <c r="AK90" i="1"/>
  <c r="AK92" i="1" s="1"/>
  <c r="AL90" i="1"/>
  <c r="AL92" i="1" s="1"/>
  <c r="AM90" i="1"/>
  <c r="AM92" i="1" s="1"/>
  <c r="AN90" i="1"/>
  <c r="AN92" i="1" s="1"/>
  <c r="AO90" i="1"/>
  <c r="AO92" i="1" s="1"/>
  <c r="AP90" i="1"/>
  <c r="AP92" i="1" s="1"/>
  <c r="AQ90" i="1"/>
  <c r="AQ92" i="1" s="1"/>
  <c r="AR90" i="1"/>
  <c r="AR92" i="1" s="1"/>
  <c r="AS90" i="1"/>
  <c r="AS92" i="1" s="1"/>
  <c r="AT90" i="1"/>
  <c r="AT92" i="1" s="1"/>
  <c r="AU90" i="1"/>
  <c r="AU92" i="1" s="1"/>
  <c r="AV90" i="1"/>
  <c r="AV92" i="1" s="1"/>
  <c r="AW90" i="1"/>
  <c r="AW92" i="1" s="1"/>
  <c r="AX90" i="1"/>
  <c r="AX92" i="1" s="1"/>
  <c r="AY90" i="1"/>
  <c r="AY92" i="1" s="1"/>
  <c r="AZ90" i="1"/>
  <c r="AZ92" i="1" s="1"/>
  <c r="BA90" i="1"/>
  <c r="BA92" i="1" s="1"/>
  <c r="BB90" i="1"/>
  <c r="BB92" i="1" s="1"/>
  <c r="BC90" i="1"/>
  <c r="BC92" i="1" s="1"/>
  <c r="BD90" i="1"/>
  <c r="BD92" i="1" s="1"/>
  <c r="BE90" i="1"/>
  <c r="BE92" i="1" s="1"/>
  <c r="BF90" i="1"/>
  <c r="BF92" i="1" s="1"/>
  <c r="BG90" i="1"/>
  <c r="BG92" i="1" s="1"/>
  <c r="BI90" i="1"/>
  <c r="BI92" i="1" s="1"/>
  <c r="BJ90" i="1"/>
  <c r="BJ92" i="1" s="1"/>
  <c r="BK90" i="1"/>
  <c r="BK92" i="1" s="1"/>
  <c r="BL90" i="1"/>
  <c r="BL92" i="1" s="1"/>
  <c r="BM90" i="1"/>
  <c r="BM92" i="1" s="1"/>
  <c r="BN90" i="1"/>
  <c r="BN92" i="1" s="1"/>
  <c r="BO90" i="1"/>
  <c r="BO92" i="1" s="1"/>
  <c r="BP90" i="1"/>
  <c r="BP92" i="1" s="1"/>
  <c r="BQ90" i="1"/>
  <c r="BQ92" i="1" s="1"/>
  <c r="BR90" i="1"/>
  <c r="BR92" i="1" s="1"/>
  <c r="BS90" i="1"/>
  <c r="BS92" i="1" s="1"/>
  <c r="BT90" i="1"/>
  <c r="BT92" i="1" s="1"/>
  <c r="BU90" i="1"/>
  <c r="BU92" i="1" s="1"/>
  <c r="BV90" i="1"/>
  <c r="BV92" i="1" s="1"/>
  <c r="BW90" i="1"/>
  <c r="BW92" i="1" s="1"/>
  <c r="BX90" i="1"/>
  <c r="BX92" i="1" s="1"/>
  <c r="BY90" i="1"/>
  <c r="BY92" i="1" s="1"/>
  <c r="BZ90" i="1"/>
  <c r="BZ92" i="1" s="1"/>
  <c r="D99" i="1"/>
  <c r="D133" i="1" s="1"/>
  <c r="D104" i="1"/>
  <c r="D134" i="1" s="1"/>
  <c r="D109" i="1"/>
  <c r="D135" i="1" s="1"/>
  <c r="E26" i="1"/>
  <c r="E116" i="1" s="1"/>
  <c r="F26" i="1"/>
  <c r="F116" i="1" s="1"/>
  <c r="G26" i="1"/>
  <c r="G116" i="1" s="1"/>
  <c r="H26" i="1"/>
  <c r="H116" i="1" s="1"/>
  <c r="I26" i="1"/>
  <c r="I116" i="1" s="1"/>
  <c r="J26" i="1"/>
  <c r="J116" i="1" s="1"/>
  <c r="K26" i="1"/>
  <c r="K116" i="1" s="1"/>
  <c r="L26" i="1"/>
  <c r="L116" i="1" s="1"/>
  <c r="M26" i="1"/>
  <c r="M116" i="1" s="1"/>
  <c r="N26" i="1"/>
  <c r="N116" i="1" s="1"/>
  <c r="O26" i="1"/>
  <c r="O116" i="1" s="1"/>
  <c r="P26" i="1"/>
  <c r="P116" i="1" s="1"/>
  <c r="Q26" i="1"/>
  <c r="Q116" i="1" s="1"/>
  <c r="R26" i="1"/>
  <c r="R116" i="1" s="1"/>
  <c r="S26" i="1"/>
  <c r="S116" i="1" s="1"/>
  <c r="T26" i="1"/>
  <c r="T116" i="1" s="1"/>
  <c r="U26" i="1"/>
  <c r="U116" i="1" s="1"/>
  <c r="V26" i="1"/>
  <c r="V116" i="1" s="1"/>
  <c r="W26" i="1"/>
  <c r="W116" i="1" s="1"/>
  <c r="X26" i="1"/>
  <c r="X116" i="1" s="1"/>
  <c r="Y26" i="1"/>
  <c r="Y116" i="1" s="1"/>
  <c r="Z26" i="1"/>
  <c r="Z116" i="1" s="1"/>
  <c r="AA26" i="1"/>
  <c r="AA116" i="1" s="1"/>
  <c r="AB26" i="1"/>
  <c r="AB116" i="1" s="1"/>
  <c r="AC26" i="1"/>
  <c r="AC116" i="1" s="1"/>
  <c r="AD26" i="1"/>
  <c r="AD116" i="1" s="1"/>
  <c r="AE26" i="1"/>
  <c r="AE116" i="1" s="1"/>
  <c r="AF26" i="1"/>
  <c r="AF116" i="1" s="1"/>
  <c r="AG26" i="1"/>
  <c r="AG116" i="1" s="1"/>
  <c r="AH26" i="1"/>
  <c r="AH116" i="1" s="1"/>
  <c r="AI26" i="1"/>
  <c r="AI116" i="1" s="1"/>
  <c r="AJ26" i="1"/>
  <c r="AJ116" i="1" s="1"/>
  <c r="AK26" i="1"/>
  <c r="AK116" i="1" s="1"/>
  <c r="AL26" i="1"/>
  <c r="AL116" i="1" s="1"/>
  <c r="AM26" i="1"/>
  <c r="AM116" i="1" s="1"/>
  <c r="AN26" i="1"/>
  <c r="AN116" i="1" s="1"/>
  <c r="AO26" i="1"/>
  <c r="AO116" i="1" s="1"/>
  <c r="AP26" i="1"/>
  <c r="AP116" i="1" s="1"/>
  <c r="AQ26" i="1"/>
  <c r="AQ116" i="1" s="1"/>
  <c r="AR26" i="1"/>
  <c r="AR116" i="1" s="1"/>
  <c r="AS26" i="1"/>
  <c r="AS116" i="1" s="1"/>
  <c r="AT26" i="1"/>
  <c r="AT116" i="1" s="1"/>
  <c r="AU26" i="1"/>
  <c r="AU116" i="1" s="1"/>
  <c r="AV26" i="1"/>
  <c r="AV116" i="1" s="1"/>
  <c r="AW26" i="1"/>
  <c r="AW116" i="1" s="1"/>
  <c r="AX26" i="1"/>
  <c r="AX116" i="1" s="1"/>
  <c r="AY26" i="1"/>
  <c r="AY116" i="1" s="1"/>
  <c r="AZ26" i="1"/>
  <c r="AZ116" i="1" s="1"/>
  <c r="BA26" i="1"/>
  <c r="BA116" i="1" s="1"/>
  <c r="BB26" i="1"/>
  <c r="BB116" i="1" s="1"/>
  <c r="BC26" i="1"/>
  <c r="BC116" i="1" s="1"/>
  <c r="BD26" i="1"/>
  <c r="BD116" i="1" s="1"/>
  <c r="BE26" i="1"/>
  <c r="BE116" i="1" s="1"/>
  <c r="BF26" i="1"/>
  <c r="BF116" i="1" s="1"/>
  <c r="BG26" i="1"/>
  <c r="BG116" i="1" s="1"/>
  <c r="BI26" i="1"/>
  <c r="BI116" i="1" s="1"/>
  <c r="BJ26" i="1"/>
  <c r="BJ116" i="1" s="1"/>
  <c r="BK26" i="1"/>
  <c r="BK116" i="1" s="1"/>
  <c r="BL26" i="1"/>
  <c r="BL116" i="1" s="1"/>
  <c r="BM26" i="1"/>
  <c r="BM116" i="1" s="1"/>
  <c r="BN26" i="1"/>
  <c r="BN116" i="1" s="1"/>
  <c r="BO26" i="1"/>
  <c r="BO116" i="1" s="1"/>
  <c r="BP26" i="1"/>
  <c r="BP116" i="1" s="1"/>
  <c r="BQ26" i="1"/>
  <c r="BQ116" i="1" s="1"/>
  <c r="BR26" i="1"/>
  <c r="BR116" i="1" s="1"/>
  <c r="BS26" i="1"/>
  <c r="BS116" i="1" s="1"/>
  <c r="BT26" i="1"/>
  <c r="BU26" i="1"/>
  <c r="BU116" i="1" s="1"/>
  <c r="BV26" i="1"/>
  <c r="BV116" i="1" s="1"/>
  <c r="BW26" i="1"/>
  <c r="BW116" i="1" s="1"/>
  <c r="BX26" i="1"/>
  <c r="BX116" i="1" s="1"/>
  <c r="BY26" i="1"/>
  <c r="BY116" i="1" s="1"/>
  <c r="BZ26" i="1"/>
  <c r="BZ116" i="1" s="1"/>
  <c r="E32" i="1"/>
  <c r="E117" i="1" s="1"/>
  <c r="F32" i="1"/>
  <c r="F117" i="1" s="1"/>
  <c r="G32" i="1"/>
  <c r="G117" i="1" s="1"/>
  <c r="H32" i="1"/>
  <c r="I32" i="1"/>
  <c r="I117" i="1" s="1"/>
  <c r="J32" i="1"/>
  <c r="J117" i="1" s="1"/>
  <c r="K32" i="1"/>
  <c r="K117" i="1" s="1"/>
  <c r="L32" i="1"/>
  <c r="L117" i="1" s="1"/>
  <c r="M32" i="1"/>
  <c r="M117" i="1" s="1"/>
  <c r="N32" i="1"/>
  <c r="N117" i="1" s="1"/>
  <c r="O32" i="1"/>
  <c r="O117" i="1" s="1"/>
  <c r="P32" i="1"/>
  <c r="P117" i="1" s="1"/>
  <c r="Q32" i="1"/>
  <c r="Q117" i="1" s="1"/>
  <c r="R32" i="1"/>
  <c r="R117" i="1" s="1"/>
  <c r="S32" i="1"/>
  <c r="S117" i="1" s="1"/>
  <c r="T32" i="1"/>
  <c r="T117" i="1" s="1"/>
  <c r="U32" i="1"/>
  <c r="U117" i="1" s="1"/>
  <c r="V32" i="1"/>
  <c r="V117" i="1" s="1"/>
  <c r="W32" i="1"/>
  <c r="W117" i="1" s="1"/>
  <c r="X32" i="1"/>
  <c r="X117" i="1" s="1"/>
  <c r="Y32" i="1"/>
  <c r="Y117" i="1" s="1"/>
  <c r="Z32" i="1"/>
  <c r="Z117" i="1" s="1"/>
  <c r="AA32" i="1"/>
  <c r="AA117" i="1" s="1"/>
  <c r="AB32" i="1"/>
  <c r="AB117" i="1" s="1"/>
  <c r="AC32" i="1"/>
  <c r="AC117" i="1" s="1"/>
  <c r="AD32" i="1"/>
  <c r="AD117" i="1" s="1"/>
  <c r="AE32" i="1"/>
  <c r="AE117" i="1" s="1"/>
  <c r="AF32" i="1"/>
  <c r="AF117" i="1" s="1"/>
  <c r="AG32" i="1"/>
  <c r="AG117" i="1" s="1"/>
  <c r="AH32" i="1"/>
  <c r="AH117" i="1" s="1"/>
  <c r="AI32" i="1"/>
  <c r="AI117" i="1" s="1"/>
  <c r="AJ32" i="1"/>
  <c r="AJ117" i="1" s="1"/>
  <c r="AK32" i="1"/>
  <c r="AK117" i="1" s="1"/>
  <c r="AL32" i="1"/>
  <c r="AL117" i="1" s="1"/>
  <c r="AM32" i="1"/>
  <c r="AM117" i="1" s="1"/>
  <c r="AN32" i="1"/>
  <c r="AN117" i="1" s="1"/>
  <c r="AO32" i="1"/>
  <c r="AO117" i="1" s="1"/>
  <c r="AP32" i="1"/>
  <c r="AP117" i="1" s="1"/>
  <c r="AQ32" i="1"/>
  <c r="AQ117" i="1" s="1"/>
  <c r="AR32" i="1"/>
  <c r="AR117" i="1" s="1"/>
  <c r="AS32" i="1"/>
  <c r="AS117" i="1" s="1"/>
  <c r="AT32" i="1"/>
  <c r="AT117" i="1" s="1"/>
  <c r="AU32" i="1"/>
  <c r="AU117" i="1" s="1"/>
  <c r="AV32" i="1"/>
  <c r="AV117" i="1" s="1"/>
  <c r="AW32" i="1"/>
  <c r="AW117" i="1" s="1"/>
  <c r="AX32" i="1"/>
  <c r="AX117" i="1" s="1"/>
  <c r="AY32" i="1"/>
  <c r="AY117" i="1" s="1"/>
  <c r="AZ32" i="1"/>
  <c r="AZ117" i="1" s="1"/>
  <c r="BA32" i="1"/>
  <c r="BA117" i="1" s="1"/>
  <c r="BB32" i="1"/>
  <c r="BC32" i="1"/>
  <c r="BC117" i="1" s="1"/>
  <c r="BD32" i="1"/>
  <c r="BD117" i="1" s="1"/>
  <c r="BE32" i="1"/>
  <c r="BE117" i="1" s="1"/>
  <c r="BF32" i="1"/>
  <c r="BF117" i="1" s="1"/>
  <c r="BG32" i="1"/>
  <c r="BG117" i="1" s="1"/>
  <c r="BI32" i="1"/>
  <c r="BI117" i="1" s="1"/>
  <c r="BJ32" i="1"/>
  <c r="BJ117" i="1" s="1"/>
  <c r="BK32" i="1"/>
  <c r="BK117" i="1" s="1"/>
  <c r="BL32" i="1"/>
  <c r="BM32" i="1"/>
  <c r="BM117" i="1" s="1"/>
  <c r="BN32" i="1"/>
  <c r="BN117" i="1" s="1"/>
  <c r="BO32" i="1"/>
  <c r="BO117" i="1" s="1"/>
  <c r="BP32" i="1"/>
  <c r="BP117" i="1" s="1"/>
  <c r="BQ32" i="1"/>
  <c r="BQ117" i="1" s="1"/>
  <c r="BR32" i="1"/>
  <c r="BR117" i="1" s="1"/>
  <c r="BS32" i="1"/>
  <c r="BS117" i="1" s="1"/>
  <c r="BT32" i="1"/>
  <c r="BT117" i="1" s="1"/>
  <c r="BU32" i="1"/>
  <c r="BU117" i="1" s="1"/>
  <c r="BV32" i="1"/>
  <c r="BV117" i="1" s="1"/>
  <c r="BW32" i="1"/>
  <c r="BW117" i="1" s="1"/>
  <c r="BX32" i="1"/>
  <c r="BX117" i="1" s="1"/>
  <c r="BY32" i="1"/>
  <c r="BY117" i="1" s="1"/>
  <c r="BZ32" i="1"/>
  <c r="BZ117" i="1" s="1"/>
  <c r="E48" i="1"/>
  <c r="E119" i="1" s="1"/>
  <c r="F48" i="1"/>
  <c r="F119" i="1" s="1"/>
  <c r="G48" i="1"/>
  <c r="G119" i="1" s="1"/>
  <c r="H48" i="1"/>
  <c r="H119" i="1" s="1"/>
  <c r="I48" i="1"/>
  <c r="I119" i="1" s="1"/>
  <c r="J48" i="1"/>
  <c r="J119" i="1" s="1"/>
  <c r="K48" i="1"/>
  <c r="K119" i="1" s="1"/>
  <c r="L48" i="1"/>
  <c r="L119" i="1" s="1"/>
  <c r="M48" i="1"/>
  <c r="M119" i="1" s="1"/>
  <c r="N48" i="1"/>
  <c r="N119" i="1" s="1"/>
  <c r="O48" i="1"/>
  <c r="O119" i="1" s="1"/>
  <c r="P48" i="1"/>
  <c r="P119" i="1" s="1"/>
  <c r="Q48" i="1"/>
  <c r="Q119" i="1" s="1"/>
  <c r="R48" i="1"/>
  <c r="R119" i="1" s="1"/>
  <c r="S48" i="1"/>
  <c r="S119" i="1" s="1"/>
  <c r="T48" i="1"/>
  <c r="T119" i="1" s="1"/>
  <c r="U48" i="1"/>
  <c r="U119" i="1" s="1"/>
  <c r="V48" i="1"/>
  <c r="V119" i="1" s="1"/>
  <c r="W48" i="1"/>
  <c r="W119" i="1" s="1"/>
  <c r="X48" i="1"/>
  <c r="X119" i="1" s="1"/>
  <c r="Y48" i="1"/>
  <c r="Y119" i="1" s="1"/>
  <c r="Z48" i="1"/>
  <c r="Z119" i="1" s="1"/>
  <c r="AA48" i="1"/>
  <c r="AA119" i="1" s="1"/>
  <c r="AB48" i="1"/>
  <c r="AC48" i="1"/>
  <c r="AC119" i="1" s="1"/>
  <c r="AD48" i="1"/>
  <c r="AD119" i="1" s="1"/>
  <c r="AE48" i="1"/>
  <c r="AE119" i="1" s="1"/>
  <c r="AF48" i="1"/>
  <c r="AF119" i="1" s="1"/>
  <c r="AG48" i="1"/>
  <c r="AG119" i="1" s="1"/>
  <c r="AH48" i="1"/>
  <c r="AH119" i="1" s="1"/>
  <c r="AI48" i="1"/>
  <c r="AI119" i="1" s="1"/>
  <c r="AJ48" i="1"/>
  <c r="AJ119" i="1" s="1"/>
  <c r="AK48" i="1"/>
  <c r="AK119" i="1" s="1"/>
  <c r="AL48" i="1"/>
  <c r="AL119" i="1" s="1"/>
  <c r="AM48" i="1"/>
  <c r="AM119" i="1" s="1"/>
  <c r="AN48" i="1"/>
  <c r="AN119" i="1" s="1"/>
  <c r="AO48" i="1"/>
  <c r="AO119" i="1" s="1"/>
  <c r="AP48" i="1"/>
  <c r="AP119" i="1" s="1"/>
  <c r="AQ48" i="1"/>
  <c r="AQ119" i="1" s="1"/>
  <c r="AR48" i="1"/>
  <c r="AR119" i="1" s="1"/>
  <c r="AS48" i="1"/>
  <c r="AS119" i="1" s="1"/>
  <c r="AT48" i="1"/>
  <c r="AT119" i="1" s="1"/>
  <c r="AU48" i="1"/>
  <c r="AU119" i="1" s="1"/>
  <c r="AV48" i="1"/>
  <c r="AV119" i="1" s="1"/>
  <c r="AW48" i="1"/>
  <c r="AW119" i="1" s="1"/>
  <c r="AX48" i="1"/>
  <c r="AX119" i="1" s="1"/>
  <c r="AY48" i="1"/>
  <c r="AY119" i="1" s="1"/>
  <c r="AZ48" i="1"/>
  <c r="BA48" i="1"/>
  <c r="BA119" i="1" s="1"/>
  <c r="BB48" i="1"/>
  <c r="BB119" i="1" s="1"/>
  <c r="BC48" i="1"/>
  <c r="BC119" i="1" s="1"/>
  <c r="BD48" i="1"/>
  <c r="BD119" i="1" s="1"/>
  <c r="BE48" i="1"/>
  <c r="BE119" i="1" s="1"/>
  <c r="BF48" i="1"/>
  <c r="BF119" i="1" s="1"/>
  <c r="BG48" i="1"/>
  <c r="BG119" i="1" s="1"/>
  <c r="BI48" i="1"/>
  <c r="BI119" i="1" s="1"/>
  <c r="BJ48" i="1"/>
  <c r="BJ119" i="1" s="1"/>
  <c r="BK48" i="1"/>
  <c r="BK119" i="1" s="1"/>
  <c r="BL48" i="1"/>
  <c r="BL119" i="1" s="1"/>
  <c r="BM48" i="1"/>
  <c r="BM119" i="1" s="1"/>
  <c r="BN48" i="1"/>
  <c r="BN119" i="1" s="1"/>
  <c r="BO48" i="1"/>
  <c r="BO119" i="1" s="1"/>
  <c r="BP48" i="1"/>
  <c r="BP119" i="1" s="1"/>
  <c r="BQ48" i="1"/>
  <c r="BQ119" i="1" s="1"/>
  <c r="BR48" i="1"/>
  <c r="BR119" i="1" s="1"/>
  <c r="BS48" i="1"/>
  <c r="BS119" i="1" s="1"/>
  <c r="BT48" i="1"/>
  <c r="BT119" i="1" s="1"/>
  <c r="BU48" i="1"/>
  <c r="BU119" i="1" s="1"/>
  <c r="BV48" i="1"/>
  <c r="BV119" i="1" s="1"/>
  <c r="BW48" i="1"/>
  <c r="BW119" i="1" s="1"/>
  <c r="BX48" i="1"/>
  <c r="BX119" i="1" s="1"/>
  <c r="BY48" i="1"/>
  <c r="BY119" i="1" s="1"/>
  <c r="BZ48" i="1"/>
  <c r="BZ119" i="1" s="1"/>
  <c r="E53" i="1"/>
  <c r="E120" i="1" s="1"/>
  <c r="F53" i="1"/>
  <c r="F120" i="1" s="1"/>
  <c r="G53" i="1"/>
  <c r="G120" i="1" s="1"/>
  <c r="H53" i="1"/>
  <c r="H120" i="1" s="1"/>
  <c r="I53" i="1"/>
  <c r="I120" i="1" s="1"/>
  <c r="J53" i="1"/>
  <c r="J120" i="1" s="1"/>
  <c r="K53" i="1"/>
  <c r="K120" i="1" s="1"/>
  <c r="L53" i="1"/>
  <c r="L120" i="1" s="1"/>
  <c r="M53" i="1"/>
  <c r="M120" i="1" s="1"/>
  <c r="N53" i="1"/>
  <c r="N120" i="1" s="1"/>
  <c r="O53" i="1"/>
  <c r="O120" i="1" s="1"/>
  <c r="P53" i="1"/>
  <c r="Q53" i="1"/>
  <c r="R53" i="1"/>
  <c r="R120" i="1" s="1"/>
  <c r="S53" i="1"/>
  <c r="S120" i="1" s="1"/>
  <c r="T53" i="1"/>
  <c r="T120" i="1" s="1"/>
  <c r="U53" i="1"/>
  <c r="U120" i="1" s="1"/>
  <c r="V53" i="1"/>
  <c r="V120" i="1" s="1"/>
  <c r="W53" i="1"/>
  <c r="W120" i="1" s="1"/>
  <c r="X53" i="1"/>
  <c r="X120" i="1" s="1"/>
  <c r="Y53" i="1"/>
  <c r="Y120" i="1" s="1"/>
  <c r="Z53" i="1"/>
  <c r="Z120" i="1" s="1"/>
  <c r="AA53" i="1"/>
  <c r="AA120" i="1" s="1"/>
  <c r="AB53" i="1"/>
  <c r="AB120" i="1" s="1"/>
  <c r="AC53" i="1"/>
  <c r="AC120" i="1" s="1"/>
  <c r="AD53" i="1"/>
  <c r="AD120" i="1" s="1"/>
  <c r="AE53" i="1"/>
  <c r="AE120" i="1" s="1"/>
  <c r="AF53" i="1"/>
  <c r="AF120" i="1" s="1"/>
  <c r="AG53" i="1"/>
  <c r="AG120" i="1" s="1"/>
  <c r="AH53" i="1"/>
  <c r="AH120" i="1" s="1"/>
  <c r="AI53" i="1"/>
  <c r="AI120" i="1" s="1"/>
  <c r="AJ53" i="1"/>
  <c r="AJ120" i="1" s="1"/>
  <c r="AK53" i="1"/>
  <c r="AK120" i="1" s="1"/>
  <c r="AL53" i="1"/>
  <c r="AL120" i="1" s="1"/>
  <c r="AM53" i="1"/>
  <c r="AM120" i="1" s="1"/>
  <c r="AN53" i="1"/>
  <c r="AO53" i="1"/>
  <c r="AP53" i="1"/>
  <c r="AP120" i="1" s="1"/>
  <c r="AQ53" i="1"/>
  <c r="AQ120" i="1" s="1"/>
  <c r="AR53" i="1"/>
  <c r="AR120" i="1" s="1"/>
  <c r="AS53" i="1"/>
  <c r="AS120" i="1" s="1"/>
  <c r="AT53" i="1"/>
  <c r="AT120" i="1" s="1"/>
  <c r="AU53" i="1"/>
  <c r="AU120" i="1" s="1"/>
  <c r="AV53" i="1"/>
  <c r="AV120" i="1" s="1"/>
  <c r="AW53" i="1"/>
  <c r="AW120" i="1" s="1"/>
  <c r="AX53" i="1"/>
  <c r="AX120" i="1" s="1"/>
  <c r="AY53" i="1"/>
  <c r="AY120" i="1" s="1"/>
  <c r="AZ53" i="1"/>
  <c r="AZ120" i="1" s="1"/>
  <c r="BA53" i="1"/>
  <c r="BA120" i="1" s="1"/>
  <c r="BB53" i="1"/>
  <c r="BB120" i="1" s="1"/>
  <c r="BC53" i="1"/>
  <c r="BC120" i="1" s="1"/>
  <c r="BD53" i="1"/>
  <c r="BD120" i="1" s="1"/>
  <c r="BE53" i="1"/>
  <c r="BE120" i="1" s="1"/>
  <c r="BF53" i="1"/>
  <c r="BF120" i="1" s="1"/>
  <c r="BG53" i="1"/>
  <c r="BG120" i="1" s="1"/>
  <c r="BI53" i="1"/>
  <c r="BI120" i="1" s="1"/>
  <c r="BJ53" i="1"/>
  <c r="BJ120" i="1" s="1"/>
  <c r="BK53" i="1"/>
  <c r="BK120" i="1" s="1"/>
  <c r="BL53" i="1"/>
  <c r="BL120" i="1" s="1"/>
  <c r="BM53" i="1"/>
  <c r="BM120" i="1" s="1"/>
  <c r="BN53" i="1"/>
  <c r="BN120" i="1" s="1"/>
  <c r="BO53" i="1"/>
  <c r="BO120" i="1" s="1"/>
  <c r="BP53" i="1"/>
  <c r="BP120" i="1" s="1"/>
  <c r="BQ53" i="1"/>
  <c r="BQ120" i="1" s="1"/>
  <c r="BR53" i="1"/>
  <c r="BS53" i="1"/>
  <c r="BT53" i="1"/>
  <c r="BT120" i="1" s="1"/>
  <c r="BU53" i="1"/>
  <c r="BU120" i="1" s="1"/>
  <c r="BV53" i="1"/>
  <c r="BV120" i="1" s="1"/>
  <c r="BW53" i="1"/>
  <c r="BW120" i="1" s="1"/>
  <c r="BX53" i="1"/>
  <c r="BX120" i="1" s="1"/>
  <c r="BY53" i="1"/>
  <c r="BY120" i="1" s="1"/>
  <c r="BZ53" i="1"/>
  <c r="BZ120" i="1" s="1"/>
  <c r="E58" i="1"/>
  <c r="F58" i="1"/>
  <c r="F121" i="1" s="1"/>
  <c r="G58" i="1"/>
  <c r="G121" i="1" s="1"/>
  <c r="H58" i="1"/>
  <c r="H121" i="1" s="1"/>
  <c r="I58" i="1"/>
  <c r="I121" i="1" s="1"/>
  <c r="J58" i="1"/>
  <c r="J121" i="1" s="1"/>
  <c r="K58" i="1"/>
  <c r="K121" i="1" s="1"/>
  <c r="L58" i="1"/>
  <c r="L121" i="1" s="1"/>
  <c r="M58" i="1"/>
  <c r="M121" i="1" s="1"/>
  <c r="N58" i="1"/>
  <c r="N121" i="1" s="1"/>
  <c r="O58" i="1"/>
  <c r="O121" i="1" s="1"/>
  <c r="P58" i="1"/>
  <c r="P121" i="1" s="1"/>
  <c r="Q58" i="1"/>
  <c r="Q121" i="1" s="1"/>
  <c r="R58" i="1"/>
  <c r="R121" i="1" s="1"/>
  <c r="S58" i="1"/>
  <c r="S121" i="1" s="1"/>
  <c r="T58" i="1"/>
  <c r="T121" i="1" s="1"/>
  <c r="U58" i="1"/>
  <c r="U121" i="1" s="1"/>
  <c r="V58" i="1"/>
  <c r="V121" i="1" s="1"/>
  <c r="W58" i="1"/>
  <c r="W121" i="1" s="1"/>
  <c r="X58" i="1"/>
  <c r="Y58" i="1"/>
  <c r="Y121" i="1" s="1"/>
  <c r="Z58" i="1"/>
  <c r="Z121" i="1" s="1"/>
  <c r="AA58" i="1"/>
  <c r="AA121" i="1" s="1"/>
  <c r="AB58" i="1"/>
  <c r="AB121" i="1" s="1"/>
  <c r="AC58" i="1"/>
  <c r="AC121" i="1" s="1"/>
  <c r="AD58" i="1"/>
  <c r="AD121" i="1" s="1"/>
  <c r="AE58" i="1"/>
  <c r="AE121" i="1" s="1"/>
  <c r="AF58" i="1"/>
  <c r="AF121" i="1" s="1"/>
  <c r="AG58" i="1"/>
  <c r="AG121" i="1" s="1"/>
  <c r="AH58" i="1"/>
  <c r="AH121" i="1" s="1"/>
  <c r="AI58" i="1"/>
  <c r="AI121" i="1" s="1"/>
  <c r="AJ58" i="1"/>
  <c r="AJ121" i="1" s="1"/>
  <c r="AK58" i="1"/>
  <c r="AK121" i="1" s="1"/>
  <c r="AL58" i="1"/>
  <c r="AL121" i="1" s="1"/>
  <c r="AM58" i="1"/>
  <c r="AM121" i="1" s="1"/>
  <c r="AN58" i="1"/>
  <c r="AN121" i="1" s="1"/>
  <c r="AO58" i="1"/>
  <c r="AO121" i="1" s="1"/>
  <c r="AP58" i="1"/>
  <c r="AP121" i="1" s="1"/>
  <c r="AQ58" i="1"/>
  <c r="AQ121" i="1" s="1"/>
  <c r="AR58" i="1"/>
  <c r="AR121" i="1" s="1"/>
  <c r="AS58" i="1"/>
  <c r="AS121" i="1" s="1"/>
  <c r="AT58" i="1"/>
  <c r="AT121" i="1" s="1"/>
  <c r="AU58" i="1"/>
  <c r="AU121" i="1" s="1"/>
  <c r="AV58" i="1"/>
  <c r="AV121" i="1" s="1"/>
  <c r="AW58" i="1"/>
  <c r="AW121" i="1" s="1"/>
  <c r="AX58" i="1"/>
  <c r="AX121" i="1" s="1"/>
  <c r="AY58" i="1"/>
  <c r="AY121" i="1" s="1"/>
  <c r="AZ58" i="1"/>
  <c r="AZ121" i="1" s="1"/>
  <c r="BA58" i="1"/>
  <c r="BA121" i="1" s="1"/>
  <c r="BB58" i="1"/>
  <c r="BB121" i="1" s="1"/>
  <c r="BC58" i="1"/>
  <c r="BC121" i="1" s="1"/>
  <c r="BD58" i="1"/>
  <c r="BD121" i="1" s="1"/>
  <c r="BE58" i="1"/>
  <c r="BE121" i="1" s="1"/>
  <c r="BF58" i="1"/>
  <c r="BF121" i="1" s="1"/>
  <c r="BG58" i="1"/>
  <c r="BG121" i="1" s="1"/>
  <c r="BI58" i="1"/>
  <c r="BI121" i="1" s="1"/>
  <c r="BJ58" i="1"/>
  <c r="BJ121" i="1" s="1"/>
  <c r="BK58" i="1"/>
  <c r="BK121" i="1" s="1"/>
  <c r="BL58" i="1"/>
  <c r="BL121" i="1" s="1"/>
  <c r="BM58" i="1"/>
  <c r="BM121" i="1" s="1"/>
  <c r="BN58" i="1"/>
  <c r="BN121" i="1" s="1"/>
  <c r="BO58" i="1"/>
  <c r="BO121" i="1" s="1"/>
  <c r="BP58" i="1"/>
  <c r="BP121" i="1" s="1"/>
  <c r="BQ58" i="1"/>
  <c r="BQ121" i="1" s="1"/>
  <c r="BR58" i="1"/>
  <c r="BR121" i="1" s="1"/>
  <c r="BS58" i="1"/>
  <c r="BT58" i="1"/>
  <c r="BT121" i="1" s="1"/>
  <c r="BU58" i="1"/>
  <c r="BU121" i="1" s="1"/>
  <c r="BV58" i="1"/>
  <c r="BV121" i="1" s="1"/>
  <c r="BW58" i="1"/>
  <c r="BW121" i="1" s="1"/>
  <c r="BX58" i="1"/>
  <c r="BX121" i="1" s="1"/>
  <c r="BY58" i="1"/>
  <c r="BY121" i="1" s="1"/>
  <c r="BZ58" i="1"/>
  <c r="BZ121" i="1" s="1"/>
  <c r="E77" i="1"/>
  <c r="E130" i="1" s="1"/>
  <c r="F77" i="1"/>
  <c r="G77" i="1"/>
  <c r="G130" i="1" s="1"/>
  <c r="H77" i="1"/>
  <c r="H130" i="1" s="1"/>
  <c r="I77" i="1"/>
  <c r="I130" i="1" s="1"/>
  <c r="J77" i="1"/>
  <c r="J130" i="1" s="1"/>
  <c r="K77" i="1"/>
  <c r="K130" i="1" s="1"/>
  <c r="L77" i="1"/>
  <c r="L130" i="1" s="1"/>
  <c r="M77" i="1"/>
  <c r="M130" i="1" s="1"/>
  <c r="N77" i="1"/>
  <c r="N130" i="1" s="1"/>
  <c r="O77" i="1"/>
  <c r="O130" i="1" s="1"/>
  <c r="P77" i="1"/>
  <c r="P130" i="1" s="1"/>
  <c r="Q77" i="1"/>
  <c r="Q130" i="1" s="1"/>
  <c r="R77" i="1"/>
  <c r="R130" i="1" s="1"/>
  <c r="S77" i="1"/>
  <c r="S130" i="1" s="1"/>
  <c r="T77" i="1"/>
  <c r="T130" i="1" s="1"/>
  <c r="U77" i="1"/>
  <c r="U130" i="1" s="1"/>
  <c r="V77" i="1"/>
  <c r="V130" i="1" s="1"/>
  <c r="W77" i="1"/>
  <c r="W130" i="1" s="1"/>
  <c r="X77" i="1"/>
  <c r="X130" i="1" s="1"/>
  <c r="Y77" i="1"/>
  <c r="Y130" i="1" s="1"/>
  <c r="Z77" i="1"/>
  <c r="Z130" i="1" s="1"/>
  <c r="AA77" i="1"/>
  <c r="AA130" i="1" s="1"/>
  <c r="AB77" i="1"/>
  <c r="AB130" i="1" s="1"/>
  <c r="AC77" i="1"/>
  <c r="AC130" i="1" s="1"/>
  <c r="AD77" i="1"/>
  <c r="AD130" i="1" s="1"/>
  <c r="AE77" i="1"/>
  <c r="AE130" i="1" s="1"/>
  <c r="AF77" i="1"/>
  <c r="AF130" i="1" s="1"/>
  <c r="AG77" i="1"/>
  <c r="AG130" i="1" s="1"/>
  <c r="AH77" i="1"/>
  <c r="AH130" i="1" s="1"/>
  <c r="AI77" i="1"/>
  <c r="AI130" i="1" s="1"/>
  <c r="AJ77" i="1"/>
  <c r="AJ130" i="1" s="1"/>
  <c r="AK77" i="1"/>
  <c r="AK130" i="1" s="1"/>
  <c r="AL77" i="1"/>
  <c r="AL130" i="1" s="1"/>
  <c r="AM77" i="1"/>
  <c r="AM130" i="1" s="1"/>
  <c r="AN77" i="1"/>
  <c r="AN130" i="1" s="1"/>
  <c r="AO77" i="1"/>
  <c r="AO130" i="1" s="1"/>
  <c r="AP77" i="1"/>
  <c r="AP130" i="1" s="1"/>
  <c r="AQ77" i="1"/>
  <c r="AQ130" i="1" s="1"/>
  <c r="AR77" i="1"/>
  <c r="AR130" i="1" s="1"/>
  <c r="AS77" i="1"/>
  <c r="AS130" i="1" s="1"/>
  <c r="AT77" i="1"/>
  <c r="AT130" i="1" s="1"/>
  <c r="AU77" i="1"/>
  <c r="AU130" i="1" s="1"/>
  <c r="AV77" i="1"/>
  <c r="AV130" i="1" s="1"/>
  <c r="AW77" i="1"/>
  <c r="AW130" i="1" s="1"/>
  <c r="AX77" i="1"/>
  <c r="AX130" i="1" s="1"/>
  <c r="AY77" i="1"/>
  <c r="AY130" i="1" s="1"/>
  <c r="AZ77" i="1"/>
  <c r="AZ130" i="1" s="1"/>
  <c r="BA77" i="1"/>
  <c r="BA130" i="1" s="1"/>
  <c r="BB77" i="1"/>
  <c r="BB130" i="1" s="1"/>
  <c r="BC77" i="1"/>
  <c r="BC130" i="1" s="1"/>
  <c r="BD77" i="1"/>
  <c r="BD130" i="1" s="1"/>
  <c r="BE77" i="1"/>
  <c r="BE130" i="1" s="1"/>
  <c r="BF77" i="1"/>
  <c r="BF130" i="1" s="1"/>
  <c r="BG77" i="1"/>
  <c r="BG130" i="1" s="1"/>
  <c r="BI77" i="1"/>
  <c r="BI130" i="1" s="1"/>
  <c r="BJ77" i="1"/>
  <c r="BJ130" i="1" s="1"/>
  <c r="BK77" i="1"/>
  <c r="BK130" i="1" s="1"/>
  <c r="BL77" i="1"/>
  <c r="BM77" i="1"/>
  <c r="BM130" i="1" s="1"/>
  <c r="BN77" i="1"/>
  <c r="BN130" i="1" s="1"/>
  <c r="BO77" i="1"/>
  <c r="BO130" i="1" s="1"/>
  <c r="BP77" i="1"/>
  <c r="BP130" i="1" s="1"/>
  <c r="BQ77" i="1"/>
  <c r="BQ130" i="1" s="1"/>
  <c r="BR77" i="1"/>
  <c r="BR130" i="1" s="1"/>
  <c r="BS77" i="1"/>
  <c r="BS130" i="1" s="1"/>
  <c r="BT77" i="1"/>
  <c r="BT130" i="1" s="1"/>
  <c r="BU77" i="1"/>
  <c r="BU130" i="1" s="1"/>
  <c r="BV77" i="1"/>
  <c r="BV130" i="1" s="1"/>
  <c r="BW77" i="1"/>
  <c r="BW130" i="1" s="1"/>
  <c r="BX77" i="1"/>
  <c r="BX130" i="1" s="1"/>
  <c r="BY77" i="1"/>
  <c r="BZ77" i="1"/>
  <c r="BZ130" i="1" s="1"/>
  <c r="E83" i="1"/>
  <c r="F83" i="1"/>
  <c r="F131" i="1" s="1"/>
  <c r="G83" i="1"/>
  <c r="G131" i="1" s="1"/>
  <c r="H83" i="1"/>
  <c r="H131" i="1" s="1"/>
  <c r="I83" i="1"/>
  <c r="I131" i="1" s="1"/>
  <c r="J83" i="1"/>
  <c r="J131" i="1" s="1"/>
  <c r="K83" i="1"/>
  <c r="K131" i="1" s="1"/>
  <c r="L83" i="1"/>
  <c r="L131" i="1" s="1"/>
  <c r="M83" i="1"/>
  <c r="M131" i="1" s="1"/>
  <c r="N83" i="1"/>
  <c r="N131" i="1" s="1"/>
  <c r="O83" i="1"/>
  <c r="O131" i="1" s="1"/>
  <c r="P83" i="1"/>
  <c r="P131" i="1" s="1"/>
  <c r="Q83" i="1"/>
  <c r="Q131" i="1" s="1"/>
  <c r="R83" i="1"/>
  <c r="R131" i="1" s="1"/>
  <c r="S83" i="1"/>
  <c r="S131" i="1" s="1"/>
  <c r="T83" i="1"/>
  <c r="T131" i="1" s="1"/>
  <c r="U83" i="1"/>
  <c r="U131" i="1" s="1"/>
  <c r="V83" i="1"/>
  <c r="V131" i="1" s="1"/>
  <c r="W83" i="1"/>
  <c r="W131" i="1" s="1"/>
  <c r="X83" i="1"/>
  <c r="X131" i="1" s="1"/>
  <c r="Y83" i="1"/>
  <c r="Y131" i="1" s="1"/>
  <c r="Z83" i="1"/>
  <c r="Z131" i="1" s="1"/>
  <c r="AA83" i="1"/>
  <c r="AA131" i="1" s="1"/>
  <c r="AB83" i="1"/>
  <c r="AB131" i="1" s="1"/>
  <c r="AC83" i="1"/>
  <c r="AC131" i="1" s="1"/>
  <c r="AD83" i="1"/>
  <c r="AD131" i="1" s="1"/>
  <c r="AE83" i="1"/>
  <c r="AE131" i="1" s="1"/>
  <c r="AF83" i="1"/>
  <c r="AF131" i="1" s="1"/>
  <c r="AG83" i="1"/>
  <c r="AG131" i="1" s="1"/>
  <c r="AH83" i="1"/>
  <c r="AH131" i="1" s="1"/>
  <c r="AI83" i="1"/>
  <c r="AI131" i="1" s="1"/>
  <c r="AJ83" i="1"/>
  <c r="AJ131" i="1" s="1"/>
  <c r="AK83" i="1"/>
  <c r="AK131" i="1" s="1"/>
  <c r="AL83" i="1"/>
  <c r="AL131" i="1" s="1"/>
  <c r="AM83" i="1"/>
  <c r="AM131" i="1" s="1"/>
  <c r="AN83" i="1"/>
  <c r="AN131" i="1" s="1"/>
  <c r="AO83" i="1"/>
  <c r="AO131" i="1" s="1"/>
  <c r="AP83" i="1"/>
  <c r="AP131" i="1" s="1"/>
  <c r="AQ83" i="1"/>
  <c r="AQ131" i="1" s="1"/>
  <c r="AR83" i="1"/>
  <c r="AR131" i="1" s="1"/>
  <c r="AS83" i="1"/>
  <c r="AS131" i="1" s="1"/>
  <c r="AT83" i="1"/>
  <c r="AT131" i="1" s="1"/>
  <c r="AU83" i="1"/>
  <c r="AU131" i="1" s="1"/>
  <c r="AV83" i="1"/>
  <c r="AV131" i="1" s="1"/>
  <c r="AW83" i="1"/>
  <c r="AW131" i="1" s="1"/>
  <c r="AX83" i="1"/>
  <c r="AX131" i="1" s="1"/>
  <c r="AY83" i="1"/>
  <c r="AY131" i="1" s="1"/>
  <c r="AZ83" i="1"/>
  <c r="AZ131" i="1" s="1"/>
  <c r="BA83" i="1"/>
  <c r="BA131" i="1" s="1"/>
  <c r="BB83" i="1"/>
  <c r="BB131" i="1" s="1"/>
  <c r="BC83" i="1"/>
  <c r="BC131" i="1" s="1"/>
  <c r="BD83" i="1"/>
  <c r="BD131" i="1" s="1"/>
  <c r="BE83" i="1"/>
  <c r="BE131" i="1" s="1"/>
  <c r="BF83" i="1"/>
  <c r="BF131" i="1" s="1"/>
  <c r="BG83" i="1"/>
  <c r="BG131" i="1" s="1"/>
  <c r="BI83" i="1"/>
  <c r="BI131" i="1" s="1"/>
  <c r="BJ83" i="1"/>
  <c r="BJ131" i="1" s="1"/>
  <c r="BK83" i="1"/>
  <c r="BK131" i="1" s="1"/>
  <c r="BL83" i="1"/>
  <c r="BL131" i="1" s="1"/>
  <c r="BM83" i="1"/>
  <c r="BM131" i="1" s="1"/>
  <c r="BN83" i="1"/>
  <c r="BN131" i="1" s="1"/>
  <c r="BO83" i="1"/>
  <c r="BO131" i="1" s="1"/>
  <c r="BP83" i="1"/>
  <c r="BP131" i="1" s="1"/>
  <c r="BQ83" i="1"/>
  <c r="BQ131" i="1" s="1"/>
  <c r="BR83" i="1"/>
  <c r="BR131" i="1" s="1"/>
  <c r="BS83" i="1"/>
  <c r="BS131" i="1" s="1"/>
  <c r="BT83" i="1"/>
  <c r="BT131" i="1" s="1"/>
  <c r="BU83" i="1"/>
  <c r="BU131" i="1" s="1"/>
  <c r="BV83" i="1"/>
  <c r="BV131" i="1" s="1"/>
  <c r="BW83" i="1"/>
  <c r="BW131" i="1" s="1"/>
  <c r="BX83" i="1"/>
  <c r="BX131" i="1" s="1"/>
  <c r="BY83" i="1"/>
  <c r="BY131" i="1" s="1"/>
  <c r="BZ83" i="1"/>
  <c r="BZ131" i="1" s="1"/>
  <c r="E99" i="1"/>
  <c r="E133" i="1" s="1"/>
  <c r="F99" i="1"/>
  <c r="F133" i="1" s="1"/>
  <c r="G99" i="1"/>
  <c r="G133" i="1" s="1"/>
  <c r="H99" i="1"/>
  <c r="H133" i="1" s="1"/>
  <c r="I99" i="1"/>
  <c r="I133" i="1" s="1"/>
  <c r="J99" i="1"/>
  <c r="J133" i="1" s="1"/>
  <c r="K99" i="1"/>
  <c r="K133" i="1" s="1"/>
  <c r="L99" i="1"/>
  <c r="L133" i="1" s="1"/>
  <c r="M99" i="1"/>
  <c r="M133" i="1" s="1"/>
  <c r="N99" i="1"/>
  <c r="O99" i="1"/>
  <c r="P99" i="1"/>
  <c r="P133" i="1" s="1"/>
  <c r="Q99" i="1"/>
  <c r="Q133" i="1" s="1"/>
  <c r="R99" i="1"/>
  <c r="R133" i="1" s="1"/>
  <c r="S99" i="1"/>
  <c r="S133" i="1" s="1"/>
  <c r="T99" i="1"/>
  <c r="T133" i="1" s="1"/>
  <c r="U99" i="1"/>
  <c r="U133" i="1" s="1"/>
  <c r="V99" i="1"/>
  <c r="V133" i="1" s="1"/>
  <c r="W99" i="1"/>
  <c r="W133" i="1" s="1"/>
  <c r="X99" i="1"/>
  <c r="X133" i="1" s="1"/>
  <c r="Y99" i="1"/>
  <c r="Y133" i="1" s="1"/>
  <c r="Z99" i="1"/>
  <c r="Z133" i="1" s="1"/>
  <c r="AA99" i="1"/>
  <c r="AA133" i="1" s="1"/>
  <c r="AB99" i="1"/>
  <c r="AB133" i="1" s="1"/>
  <c r="AC99" i="1"/>
  <c r="AC133" i="1" s="1"/>
  <c r="AD99" i="1"/>
  <c r="AD133" i="1" s="1"/>
  <c r="AE99" i="1"/>
  <c r="AE133" i="1" s="1"/>
  <c r="AF99" i="1"/>
  <c r="AF133" i="1" s="1"/>
  <c r="AG99" i="1"/>
  <c r="AG133" i="1" s="1"/>
  <c r="AH99" i="1"/>
  <c r="AH133" i="1" s="1"/>
  <c r="AI99" i="1"/>
  <c r="AI133" i="1" s="1"/>
  <c r="AJ99" i="1"/>
  <c r="AJ133" i="1" s="1"/>
  <c r="AK99" i="1"/>
  <c r="AK133" i="1" s="1"/>
  <c r="AL99" i="1"/>
  <c r="AL133" i="1" s="1"/>
  <c r="AM99" i="1"/>
  <c r="AM133" i="1" s="1"/>
  <c r="AN99" i="1"/>
  <c r="AN133" i="1" s="1"/>
  <c r="AO99" i="1"/>
  <c r="AO133" i="1" s="1"/>
  <c r="AP99" i="1"/>
  <c r="AP133" i="1" s="1"/>
  <c r="AQ99" i="1"/>
  <c r="AQ133" i="1" s="1"/>
  <c r="AR99" i="1"/>
  <c r="AR133" i="1" s="1"/>
  <c r="AS99" i="1"/>
  <c r="AS133" i="1" s="1"/>
  <c r="AT99" i="1"/>
  <c r="AT133" i="1" s="1"/>
  <c r="AU99" i="1"/>
  <c r="AU133" i="1" s="1"/>
  <c r="AV99" i="1"/>
  <c r="AV133" i="1" s="1"/>
  <c r="AW99" i="1"/>
  <c r="AW133" i="1" s="1"/>
  <c r="AX99" i="1"/>
  <c r="AX133" i="1" s="1"/>
  <c r="AY99" i="1"/>
  <c r="AY133" i="1" s="1"/>
  <c r="AZ99" i="1"/>
  <c r="AZ133" i="1" s="1"/>
  <c r="BA99" i="1"/>
  <c r="BA133" i="1" s="1"/>
  <c r="BB99" i="1"/>
  <c r="BB133" i="1" s="1"/>
  <c r="BC99" i="1"/>
  <c r="BC133" i="1" s="1"/>
  <c r="BD99" i="1"/>
  <c r="BD133" i="1" s="1"/>
  <c r="BE99" i="1"/>
  <c r="BE133" i="1" s="1"/>
  <c r="BF99" i="1"/>
  <c r="BF133" i="1" s="1"/>
  <c r="BG99" i="1"/>
  <c r="BG133" i="1" s="1"/>
  <c r="BI99" i="1"/>
  <c r="BI133" i="1" s="1"/>
  <c r="BJ99" i="1"/>
  <c r="BJ133" i="1" s="1"/>
  <c r="BK99" i="1"/>
  <c r="BL99" i="1"/>
  <c r="BL133" i="1" s="1"/>
  <c r="BM99" i="1"/>
  <c r="BM133" i="1" s="1"/>
  <c r="BN99" i="1"/>
  <c r="BN133" i="1" s="1"/>
  <c r="BO99" i="1"/>
  <c r="BO133" i="1" s="1"/>
  <c r="BP99" i="1"/>
  <c r="BP133" i="1" s="1"/>
  <c r="BQ99" i="1"/>
  <c r="BQ133" i="1" s="1"/>
  <c r="BR99" i="1"/>
  <c r="BR133" i="1" s="1"/>
  <c r="BS99" i="1"/>
  <c r="BS133" i="1" s="1"/>
  <c r="BT99" i="1"/>
  <c r="BT133" i="1" s="1"/>
  <c r="BU99" i="1"/>
  <c r="BU133" i="1" s="1"/>
  <c r="BV99" i="1"/>
  <c r="BV133" i="1" s="1"/>
  <c r="BW99" i="1"/>
  <c r="BX99" i="1"/>
  <c r="BX133" i="1" s="1"/>
  <c r="BY99" i="1"/>
  <c r="BY133" i="1" s="1"/>
  <c r="BZ99" i="1"/>
  <c r="BZ133" i="1" s="1"/>
  <c r="E104" i="1"/>
  <c r="E134" i="1" s="1"/>
  <c r="F104" i="1"/>
  <c r="F134" i="1" s="1"/>
  <c r="G104" i="1"/>
  <c r="G134" i="1" s="1"/>
  <c r="H104" i="1"/>
  <c r="H134" i="1" s="1"/>
  <c r="I104" i="1"/>
  <c r="I134" i="1" s="1"/>
  <c r="J104" i="1"/>
  <c r="J134" i="1" s="1"/>
  <c r="K104" i="1"/>
  <c r="K134" i="1" s="1"/>
  <c r="L104" i="1"/>
  <c r="L134" i="1" s="1"/>
  <c r="M104" i="1"/>
  <c r="M134" i="1" s="1"/>
  <c r="N104" i="1"/>
  <c r="N134" i="1" s="1"/>
  <c r="O104" i="1"/>
  <c r="O134" i="1" s="1"/>
  <c r="P104" i="1"/>
  <c r="P134" i="1" s="1"/>
  <c r="Q104" i="1"/>
  <c r="R104" i="1"/>
  <c r="R134" i="1" s="1"/>
  <c r="S104" i="1"/>
  <c r="S134" i="1" s="1"/>
  <c r="T104" i="1"/>
  <c r="T134" i="1" s="1"/>
  <c r="U104" i="1"/>
  <c r="U134" i="1" s="1"/>
  <c r="V104" i="1"/>
  <c r="V134" i="1" s="1"/>
  <c r="W104" i="1"/>
  <c r="W134" i="1" s="1"/>
  <c r="X104" i="1"/>
  <c r="Y104" i="1"/>
  <c r="Y134" i="1" s="1"/>
  <c r="Z104" i="1"/>
  <c r="Z134" i="1" s="1"/>
  <c r="AA104" i="1"/>
  <c r="AA134" i="1" s="1"/>
  <c r="AB104" i="1"/>
  <c r="AB134" i="1" s="1"/>
  <c r="AC104" i="1"/>
  <c r="AC134" i="1" s="1"/>
  <c r="AD104" i="1"/>
  <c r="AD134" i="1" s="1"/>
  <c r="AE104" i="1"/>
  <c r="AE134" i="1" s="1"/>
  <c r="AF104" i="1"/>
  <c r="AF134" i="1" s="1"/>
  <c r="AG104" i="1"/>
  <c r="AG134" i="1" s="1"/>
  <c r="AH104" i="1"/>
  <c r="AH134" i="1" s="1"/>
  <c r="AI104" i="1"/>
  <c r="AJ104" i="1"/>
  <c r="AJ134" i="1" s="1"/>
  <c r="AK104" i="1"/>
  <c r="AK134" i="1" s="1"/>
  <c r="AL104" i="1"/>
  <c r="AL134" i="1" s="1"/>
  <c r="AM104" i="1"/>
  <c r="AM134" i="1" s="1"/>
  <c r="AN104" i="1"/>
  <c r="AN134" i="1" s="1"/>
  <c r="AO104" i="1"/>
  <c r="AP104" i="1"/>
  <c r="AP134" i="1" s="1"/>
  <c r="AQ104" i="1"/>
  <c r="AQ134" i="1" s="1"/>
  <c r="AR104" i="1"/>
  <c r="AR134" i="1" s="1"/>
  <c r="AS104" i="1"/>
  <c r="AS134" i="1" s="1"/>
  <c r="AT104" i="1"/>
  <c r="AT134" i="1" s="1"/>
  <c r="AU104" i="1"/>
  <c r="AU134" i="1" s="1"/>
  <c r="AV104" i="1"/>
  <c r="AV134" i="1" s="1"/>
  <c r="AW104" i="1"/>
  <c r="AX104" i="1"/>
  <c r="AY104" i="1"/>
  <c r="AY134" i="1" s="1"/>
  <c r="AZ104" i="1"/>
  <c r="AZ134" i="1" s="1"/>
  <c r="BA104" i="1"/>
  <c r="BA134" i="1" s="1"/>
  <c r="BB104" i="1"/>
  <c r="BB134" i="1" s="1"/>
  <c r="BC104" i="1"/>
  <c r="BC134" i="1" s="1"/>
  <c r="BD104" i="1"/>
  <c r="BD134" i="1" s="1"/>
  <c r="BE104" i="1"/>
  <c r="BF104" i="1"/>
  <c r="BF134" i="1" s="1"/>
  <c r="BG104" i="1"/>
  <c r="BG134" i="1" s="1"/>
  <c r="BI104" i="1"/>
  <c r="BI134" i="1" s="1"/>
  <c r="BJ104" i="1"/>
  <c r="BJ134" i="1" s="1"/>
  <c r="BK104" i="1"/>
  <c r="BK134" i="1" s="1"/>
  <c r="BL104" i="1"/>
  <c r="BL134" i="1" s="1"/>
  <c r="BM104" i="1"/>
  <c r="BM134" i="1" s="1"/>
  <c r="BN104" i="1"/>
  <c r="BN134" i="1" s="1"/>
  <c r="BO104" i="1"/>
  <c r="BO134" i="1" s="1"/>
  <c r="BP104" i="1"/>
  <c r="BP134" i="1" s="1"/>
  <c r="BQ104" i="1"/>
  <c r="BQ134" i="1" s="1"/>
  <c r="BR104" i="1"/>
  <c r="BR134" i="1" s="1"/>
  <c r="BS104" i="1"/>
  <c r="BS134" i="1" s="1"/>
  <c r="BT104" i="1"/>
  <c r="BT134" i="1" s="1"/>
  <c r="BU104" i="1"/>
  <c r="BU134" i="1" s="1"/>
  <c r="BV104" i="1"/>
  <c r="BV134" i="1" s="1"/>
  <c r="BW104" i="1"/>
  <c r="BW134" i="1" s="1"/>
  <c r="BX104" i="1"/>
  <c r="BX134" i="1" s="1"/>
  <c r="BY104" i="1"/>
  <c r="BY134" i="1" s="1"/>
  <c r="BZ104" i="1"/>
  <c r="BZ134" i="1" s="1"/>
  <c r="E109" i="1"/>
  <c r="E135" i="1" s="1"/>
  <c r="F109" i="1"/>
  <c r="F135" i="1" s="1"/>
  <c r="G109" i="1"/>
  <c r="G135" i="1" s="1"/>
  <c r="H109" i="1"/>
  <c r="H135" i="1" s="1"/>
  <c r="I109" i="1"/>
  <c r="I135" i="1" s="1"/>
  <c r="J109" i="1"/>
  <c r="J135" i="1" s="1"/>
  <c r="K109" i="1"/>
  <c r="K135" i="1" s="1"/>
  <c r="L109" i="1"/>
  <c r="L135" i="1" s="1"/>
  <c r="M109" i="1"/>
  <c r="M135" i="1" s="1"/>
  <c r="N109" i="1"/>
  <c r="N135" i="1" s="1"/>
  <c r="O109" i="1"/>
  <c r="O135" i="1" s="1"/>
  <c r="P109" i="1"/>
  <c r="P135" i="1" s="1"/>
  <c r="Q109" i="1"/>
  <c r="Q135" i="1" s="1"/>
  <c r="R109" i="1"/>
  <c r="R135" i="1" s="1"/>
  <c r="S109" i="1"/>
  <c r="S135" i="1" s="1"/>
  <c r="T109" i="1"/>
  <c r="T135" i="1" s="1"/>
  <c r="U109" i="1"/>
  <c r="U135" i="1" s="1"/>
  <c r="V109" i="1"/>
  <c r="V135" i="1" s="1"/>
  <c r="W109" i="1"/>
  <c r="W135" i="1" s="1"/>
  <c r="X109" i="1"/>
  <c r="X135" i="1" s="1"/>
  <c r="Y109" i="1"/>
  <c r="Y135" i="1" s="1"/>
  <c r="Z109" i="1"/>
  <c r="Z135" i="1" s="1"/>
  <c r="AA109" i="1"/>
  <c r="AA135" i="1" s="1"/>
  <c r="AB109" i="1"/>
  <c r="AB135" i="1" s="1"/>
  <c r="AC109" i="1"/>
  <c r="AC135" i="1" s="1"/>
  <c r="AD109" i="1"/>
  <c r="AD135" i="1" s="1"/>
  <c r="AE109" i="1"/>
  <c r="AE135" i="1" s="1"/>
  <c r="AF109" i="1"/>
  <c r="AF135" i="1" s="1"/>
  <c r="AG109" i="1"/>
  <c r="AG135" i="1" s="1"/>
  <c r="AH109" i="1"/>
  <c r="AH135" i="1" s="1"/>
  <c r="AI109" i="1"/>
  <c r="AI135" i="1" s="1"/>
  <c r="AJ109" i="1"/>
  <c r="AJ135" i="1" s="1"/>
  <c r="AK109" i="1"/>
  <c r="AK135" i="1" s="1"/>
  <c r="AL109" i="1"/>
  <c r="AL135" i="1" s="1"/>
  <c r="AM109" i="1"/>
  <c r="AM135" i="1" s="1"/>
  <c r="AN109" i="1"/>
  <c r="AO109" i="1"/>
  <c r="AO135" i="1" s="1"/>
  <c r="AP109" i="1"/>
  <c r="AP135" i="1" s="1"/>
  <c r="AQ109" i="1"/>
  <c r="AQ135" i="1" s="1"/>
  <c r="AR109" i="1"/>
  <c r="AR135" i="1" s="1"/>
  <c r="AS109" i="1"/>
  <c r="AS135" i="1" s="1"/>
  <c r="AT109" i="1"/>
  <c r="AT135" i="1" s="1"/>
  <c r="AU109" i="1"/>
  <c r="AU135" i="1" s="1"/>
  <c r="AV109" i="1"/>
  <c r="AV135" i="1" s="1"/>
  <c r="AW109" i="1"/>
  <c r="AW135" i="1" s="1"/>
  <c r="AX109" i="1"/>
  <c r="AX135" i="1" s="1"/>
  <c r="AY109" i="1"/>
  <c r="AY135" i="1" s="1"/>
  <c r="AZ109" i="1"/>
  <c r="AZ135" i="1" s="1"/>
  <c r="BA109" i="1"/>
  <c r="BA135" i="1" s="1"/>
  <c r="BB109" i="1"/>
  <c r="BB135" i="1" s="1"/>
  <c r="BC109" i="1"/>
  <c r="BC135" i="1" s="1"/>
  <c r="BD109" i="1"/>
  <c r="BD135" i="1" s="1"/>
  <c r="BE109" i="1"/>
  <c r="BE135" i="1" s="1"/>
  <c r="BF109" i="1"/>
  <c r="BF135" i="1" s="1"/>
  <c r="BG109" i="1"/>
  <c r="BG135" i="1" s="1"/>
  <c r="BI109" i="1"/>
  <c r="BI135" i="1" s="1"/>
  <c r="BJ109" i="1"/>
  <c r="BJ135" i="1" s="1"/>
  <c r="BK109" i="1"/>
  <c r="BK135" i="1" s="1"/>
  <c r="BL109" i="1"/>
  <c r="BL135" i="1" s="1"/>
  <c r="BM109" i="1"/>
  <c r="BM135" i="1" s="1"/>
  <c r="BN109" i="1"/>
  <c r="BN135" i="1" s="1"/>
  <c r="BO109" i="1"/>
  <c r="BO135" i="1" s="1"/>
  <c r="BP109" i="1"/>
  <c r="BP135" i="1" s="1"/>
  <c r="BQ109" i="1"/>
  <c r="BQ135" i="1" s="1"/>
  <c r="BR109" i="1"/>
  <c r="BR135" i="1" s="1"/>
  <c r="BS109" i="1"/>
  <c r="BS135" i="1" s="1"/>
  <c r="BT109" i="1"/>
  <c r="BT135" i="1" s="1"/>
  <c r="BU109" i="1"/>
  <c r="BU135" i="1" s="1"/>
  <c r="BV109" i="1"/>
  <c r="BV135" i="1" s="1"/>
  <c r="BW109" i="1"/>
  <c r="BW135" i="1" s="1"/>
  <c r="BX109" i="1"/>
  <c r="BX135" i="1" s="1"/>
  <c r="BY109" i="1"/>
  <c r="BY135" i="1" s="1"/>
  <c r="BZ109" i="1"/>
  <c r="BZ135" i="1" s="1"/>
  <c r="C138" i="1"/>
  <c r="E131" i="1"/>
  <c r="F130" i="1"/>
  <c r="N133" i="1"/>
  <c r="O133" i="1"/>
  <c r="P120" i="1"/>
  <c r="Q120" i="1"/>
  <c r="Q134" i="1"/>
  <c r="X121" i="1"/>
  <c r="X134" i="1"/>
  <c r="AB119" i="1"/>
  <c r="AI134" i="1"/>
  <c r="AN120" i="1"/>
  <c r="AN135" i="1"/>
  <c r="AO120" i="1"/>
  <c r="AO134" i="1"/>
  <c r="AW134" i="1"/>
  <c r="AX134" i="1"/>
  <c r="AZ119" i="1"/>
  <c r="BB117" i="1"/>
  <c r="BE134" i="1"/>
  <c r="BR120" i="1"/>
  <c r="BS120" i="1"/>
  <c r="BS121" i="1"/>
  <c r="BT116" i="1"/>
  <c r="BW133" i="1"/>
  <c r="BY130" i="1"/>
  <c r="C43" i="11"/>
  <c r="C44" i="16"/>
  <c r="C32" i="11"/>
  <c r="C33" i="16" s="1"/>
  <c r="C21" i="11"/>
  <c r="C22" i="16" s="1"/>
  <c r="E12" i="11"/>
  <c r="E22" i="11" s="1"/>
  <c r="F12" i="11"/>
  <c r="F44" i="11" s="1"/>
  <c r="G12" i="11"/>
  <c r="G44" i="11" s="1"/>
  <c r="H12" i="11"/>
  <c r="H44" i="11" s="1"/>
  <c r="I12" i="11"/>
  <c r="I33" i="11" s="1"/>
  <c r="J12" i="11"/>
  <c r="K12" i="11"/>
  <c r="K44" i="11" s="1"/>
  <c r="L12" i="11"/>
  <c r="L33" i="11" s="1"/>
  <c r="M12" i="11"/>
  <c r="N12" i="11"/>
  <c r="N44" i="11" s="1"/>
  <c r="O12" i="11"/>
  <c r="O22" i="11" s="1"/>
  <c r="P12" i="11"/>
  <c r="P44" i="11" s="1"/>
  <c r="Q12" i="11"/>
  <c r="R12" i="11"/>
  <c r="R44" i="11" s="1"/>
  <c r="S12" i="11"/>
  <c r="S22" i="11" s="1"/>
  <c r="T12" i="11"/>
  <c r="T22" i="11" s="1"/>
  <c r="U12" i="11"/>
  <c r="U33" i="11" s="1"/>
  <c r="V12" i="11"/>
  <c r="V22" i="11" s="1"/>
  <c r="W12" i="11"/>
  <c r="X12" i="11"/>
  <c r="X33" i="11" s="1"/>
  <c r="Y12" i="11"/>
  <c r="Y33" i="11" s="1"/>
  <c r="Z12" i="11"/>
  <c r="Z44" i="11" s="1"/>
  <c r="AA12" i="11"/>
  <c r="AB12" i="11"/>
  <c r="AB22" i="11" s="1"/>
  <c r="AC12" i="11"/>
  <c r="AC44" i="11" s="1"/>
  <c r="AD12" i="11"/>
  <c r="AE12" i="11"/>
  <c r="AF12" i="11"/>
  <c r="AF33" i="11" s="1"/>
  <c r="AG12" i="11"/>
  <c r="AH12" i="11"/>
  <c r="AH44" i="11" s="1"/>
  <c r="AI12" i="11"/>
  <c r="AI33" i="11" s="1"/>
  <c r="AJ12" i="11"/>
  <c r="AK12" i="11"/>
  <c r="AK22" i="11" s="1"/>
  <c r="AL12" i="11"/>
  <c r="AL22" i="11" s="1"/>
  <c r="AM12" i="11"/>
  <c r="AN12" i="11"/>
  <c r="AN33" i="11" s="1"/>
  <c r="AO12" i="11"/>
  <c r="AO33" i="11" s="1"/>
  <c r="AP12" i="11"/>
  <c r="AP44" i="11" s="1"/>
  <c r="AQ12" i="11"/>
  <c r="AR12" i="11"/>
  <c r="AR22" i="11" s="1"/>
  <c r="AS12" i="11"/>
  <c r="AS33" i="11" s="1"/>
  <c r="AT12" i="11"/>
  <c r="AT22" i="11" s="1"/>
  <c r="AU12" i="11"/>
  <c r="AV12" i="11"/>
  <c r="AV22" i="11" s="1"/>
  <c r="AW12" i="11"/>
  <c r="AW33" i="11" s="1"/>
  <c r="AX12" i="11"/>
  <c r="AY12" i="11"/>
  <c r="AY33" i="11" s="1"/>
  <c r="AZ12" i="11"/>
  <c r="AZ22" i="11" s="1"/>
  <c r="BA12" i="11"/>
  <c r="BA33" i="11" s="1"/>
  <c r="BB12" i="11"/>
  <c r="BB22" i="11" s="1"/>
  <c r="BC12" i="11"/>
  <c r="BC33" i="11" s="1"/>
  <c r="BD12" i="11"/>
  <c r="BD33" i="11" s="1"/>
  <c r="BE12" i="11"/>
  <c r="BE44" i="11" s="1"/>
  <c r="BF12" i="11"/>
  <c r="BG12" i="11"/>
  <c r="BG33" i="11" s="1"/>
  <c r="BI12" i="11"/>
  <c r="BJ12" i="11"/>
  <c r="BJ33" i="11" s="1"/>
  <c r="BK12" i="11"/>
  <c r="BK33" i="11" s="1"/>
  <c r="BL12" i="11"/>
  <c r="BM12" i="11"/>
  <c r="BM22" i="11" s="1"/>
  <c r="BN12" i="11"/>
  <c r="BN22" i="11" s="1"/>
  <c r="BO12" i="11"/>
  <c r="BO33" i="11" s="1"/>
  <c r="BP12" i="11"/>
  <c r="BP44" i="11" s="1"/>
  <c r="BQ12" i="11"/>
  <c r="BQ33" i="11" s="1"/>
  <c r="BR12" i="11"/>
  <c r="BR33" i="11" s="1"/>
  <c r="BS12" i="11"/>
  <c r="BT12" i="11"/>
  <c r="BU12" i="11"/>
  <c r="BU22" i="11" s="1"/>
  <c r="BV12" i="11"/>
  <c r="BV22" i="11" s="1"/>
  <c r="BW12" i="11"/>
  <c r="BW33" i="11" s="1"/>
  <c r="BX12" i="11"/>
  <c r="BX44" i="11" s="1"/>
  <c r="BY12" i="11"/>
  <c r="BY44" i="11" s="1"/>
  <c r="BZ12" i="11"/>
  <c r="C42" i="16"/>
  <c r="C41" i="16"/>
  <c r="C31" i="16"/>
  <c r="C30" i="16"/>
  <c r="C20" i="16"/>
  <c r="D9" i="16"/>
  <c r="D12" i="10"/>
  <c r="D20" i="10" s="1"/>
  <c r="D22" i="10" s="1"/>
  <c r="D39" i="10"/>
  <c r="E12" i="10"/>
  <c r="E39" i="10"/>
  <c r="F12" i="10"/>
  <c r="F20" i="10" s="1"/>
  <c r="F22" i="10" s="1"/>
  <c r="F39" i="10"/>
  <c r="G12" i="10"/>
  <c r="G20" i="10" s="1"/>
  <c r="G22" i="10" s="1"/>
  <c r="G24" i="10" s="1"/>
  <c r="G39" i="10"/>
  <c r="H12" i="10"/>
  <c r="H20" i="10" s="1"/>
  <c r="H22" i="10" s="1"/>
  <c r="H39" i="10"/>
  <c r="I12" i="10"/>
  <c r="I46" i="10" s="1"/>
  <c r="I48" i="10" s="1"/>
  <c r="I50" i="10" s="1"/>
  <c r="I39" i="10"/>
  <c r="J12" i="10"/>
  <c r="J29" i="10" s="1"/>
  <c r="J31" i="10" s="1"/>
  <c r="J33" i="10" s="1"/>
  <c r="J39" i="10"/>
  <c r="K12" i="10"/>
  <c r="K39" i="10"/>
  <c r="L12" i="10"/>
  <c r="L20" i="10" s="1"/>
  <c r="L22" i="10" s="1"/>
  <c r="L39" i="10"/>
  <c r="M12" i="10"/>
  <c r="M39" i="10"/>
  <c r="N12" i="10"/>
  <c r="N46" i="10" s="1"/>
  <c r="N48" i="10" s="1"/>
  <c r="N50" i="10" s="1"/>
  <c r="N39" i="10"/>
  <c r="O12" i="10"/>
  <c r="O56" i="10" s="1"/>
  <c r="O39" i="10"/>
  <c r="P12" i="10"/>
  <c r="P20" i="10" s="1"/>
  <c r="P22" i="10" s="1"/>
  <c r="P39" i="10"/>
  <c r="Q12" i="10"/>
  <c r="Q29" i="10" s="1"/>
  <c r="Q31" i="10" s="1"/>
  <c r="Q33" i="10" s="1"/>
  <c r="Q39" i="10"/>
  <c r="R12" i="10"/>
  <c r="R29" i="10" s="1"/>
  <c r="R31" i="10" s="1"/>
  <c r="R33" i="10" s="1"/>
  <c r="R39" i="10"/>
  <c r="S12" i="10"/>
  <c r="S39" i="10"/>
  <c r="T12" i="10"/>
  <c r="T29" i="10" s="1"/>
  <c r="T31" i="10" s="1"/>
  <c r="T33" i="10" s="1"/>
  <c r="T39" i="10"/>
  <c r="U12" i="10"/>
  <c r="U39" i="10"/>
  <c r="V12" i="10"/>
  <c r="V39" i="10"/>
  <c r="W12" i="10"/>
  <c r="W46" i="10" s="1"/>
  <c r="W48" i="10" s="1"/>
  <c r="W50" i="10" s="1"/>
  <c r="W39" i="10"/>
  <c r="X12" i="10"/>
  <c r="X46" i="10" s="1"/>
  <c r="X48" i="10" s="1"/>
  <c r="X50" i="10" s="1"/>
  <c r="X39" i="10"/>
  <c r="Y12" i="10"/>
  <c r="Y39" i="10"/>
  <c r="Z12" i="10"/>
  <c r="Z39" i="10"/>
  <c r="AA12" i="10"/>
  <c r="AA39" i="10"/>
  <c r="AB12" i="10"/>
  <c r="AB56" i="10" s="1"/>
  <c r="AB39" i="10"/>
  <c r="AC12" i="10"/>
  <c r="AC39" i="10"/>
  <c r="AD12" i="10"/>
  <c r="AD39" i="10"/>
  <c r="AE12" i="10"/>
  <c r="AE56" i="10" s="1"/>
  <c r="AE39" i="10"/>
  <c r="AF12" i="10"/>
  <c r="AF39" i="10"/>
  <c r="AG12" i="10"/>
  <c r="AG39" i="10"/>
  <c r="AH12" i="10"/>
  <c r="AH39" i="10"/>
  <c r="AI12" i="10"/>
  <c r="AI20" i="10" s="1"/>
  <c r="AI22" i="10" s="1"/>
  <c r="AI24" i="10" s="1"/>
  <c r="AI39" i="10"/>
  <c r="AJ12" i="10"/>
  <c r="AJ29" i="10" s="1"/>
  <c r="AJ31" i="10" s="1"/>
  <c r="AJ33" i="10" s="1"/>
  <c r="AJ39" i="10"/>
  <c r="AK12" i="10"/>
  <c r="AK39" i="10"/>
  <c r="AL12" i="10"/>
  <c r="AL39" i="10"/>
  <c r="AM12" i="10"/>
  <c r="AM46" i="10" s="1"/>
  <c r="AM48" i="10" s="1"/>
  <c r="AM50" i="10" s="1"/>
  <c r="AM39" i="10"/>
  <c r="AN12" i="10"/>
  <c r="AN39" i="10"/>
  <c r="AO12" i="10"/>
  <c r="AO39" i="10"/>
  <c r="AP12" i="10"/>
  <c r="AP20" i="10" s="1"/>
  <c r="AP22" i="10" s="1"/>
  <c r="AP39" i="10"/>
  <c r="AQ12" i="10"/>
  <c r="AQ29" i="10" s="1"/>
  <c r="AQ31" i="10" s="1"/>
  <c r="AQ33" i="10" s="1"/>
  <c r="AQ39" i="10"/>
  <c r="AR12" i="10"/>
  <c r="AR29" i="10" s="1"/>
  <c r="AR31" i="10" s="1"/>
  <c r="AR33" i="10" s="1"/>
  <c r="AR39" i="10"/>
  <c r="AS12" i="10"/>
  <c r="AS39" i="10"/>
  <c r="AT12" i="10"/>
  <c r="AT39" i="10"/>
  <c r="AU12" i="10"/>
  <c r="AU20" i="10" s="1"/>
  <c r="AU22" i="10" s="1"/>
  <c r="AU39" i="10"/>
  <c r="AV12" i="10"/>
  <c r="AV39" i="10"/>
  <c r="AW12" i="10"/>
  <c r="AW20" i="10" s="1"/>
  <c r="AW22" i="10" s="1"/>
  <c r="AW39" i="10"/>
  <c r="AX12" i="10"/>
  <c r="AX20" i="10" s="1"/>
  <c r="AX22" i="10" s="1"/>
  <c r="AX39" i="10"/>
  <c r="AY12" i="10"/>
  <c r="AY46" i="10" s="1"/>
  <c r="AY48" i="10" s="1"/>
  <c r="AY50" i="10" s="1"/>
  <c r="AY39" i="10"/>
  <c r="AZ12" i="10"/>
  <c r="AZ29" i="10" s="1"/>
  <c r="AZ31" i="10" s="1"/>
  <c r="AZ33" i="10" s="1"/>
  <c r="AZ39" i="10"/>
  <c r="BA12" i="10"/>
  <c r="BA39" i="10"/>
  <c r="BB12" i="10"/>
  <c r="BB20" i="10" s="1"/>
  <c r="BB22" i="10" s="1"/>
  <c r="BB39" i="10"/>
  <c r="BC12" i="10"/>
  <c r="BC46" i="10" s="1"/>
  <c r="BC48" i="10" s="1"/>
  <c r="BC50" i="10" s="1"/>
  <c r="BC39" i="10"/>
  <c r="BD12" i="10"/>
  <c r="BD39" i="10"/>
  <c r="BE12" i="10"/>
  <c r="BE20" i="10" s="1"/>
  <c r="BE22" i="10" s="1"/>
  <c r="BE39" i="10"/>
  <c r="BF12" i="10"/>
  <c r="BF39" i="10"/>
  <c r="BG12" i="10"/>
  <c r="BG46" i="10" s="1"/>
  <c r="BG48" i="10" s="1"/>
  <c r="BG50" i="10" s="1"/>
  <c r="BG39" i="10"/>
  <c r="BI12" i="10"/>
  <c r="BI39" i="10"/>
  <c r="BJ12" i="10"/>
  <c r="BJ46" i="10" s="1"/>
  <c r="BJ48" i="10" s="1"/>
  <c r="BJ50" i="10" s="1"/>
  <c r="BJ39" i="10"/>
  <c r="BK12" i="10"/>
  <c r="BK56" i="10" s="1"/>
  <c r="BK39" i="10"/>
  <c r="BL12" i="10"/>
  <c r="BL39" i="10"/>
  <c r="BM12" i="10"/>
  <c r="BM29" i="10" s="1"/>
  <c r="BM31" i="10" s="1"/>
  <c r="BM33" i="10" s="1"/>
  <c r="BM39" i="10"/>
  <c r="BN12" i="10"/>
  <c r="BN29" i="10" s="1"/>
  <c r="BN31" i="10" s="1"/>
  <c r="BN33" i="10" s="1"/>
  <c r="BN39" i="10"/>
  <c r="BO12" i="10"/>
  <c r="BO39" i="10"/>
  <c r="BP12" i="10"/>
  <c r="BP20" i="10" s="1"/>
  <c r="BP22" i="10" s="1"/>
  <c r="BP39" i="10"/>
  <c r="BQ12" i="10"/>
  <c r="BQ20" i="10" s="1"/>
  <c r="BQ22" i="10" s="1"/>
  <c r="BQ39" i="10"/>
  <c r="BR12" i="10"/>
  <c r="BR39" i="10"/>
  <c r="BS12" i="10"/>
  <c r="BS39" i="10"/>
  <c r="BT12" i="10"/>
  <c r="BT20" i="10" s="1"/>
  <c r="BT22" i="10" s="1"/>
  <c r="BT39" i="10"/>
  <c r="BU12" i="10"/>
  <c r="BU29" i="10" s="1"/>
  <c r="BU31" i="10" s="1"/>
  <c r="BU33" i="10" s="1"/>
  <c r="BU39" i="10"/>
  <c r="BV12" i="10"/>
  <c r="BV29" i="10" s="1"/>
  <c r="BV31" i="10" s="1"/>
  <c r="BV33" i="10" s="1"/>
  <c r="BV39" i="10"/>
  <c r="BW12" i="10"/>
  <c r="BW39" i="10"/>
  <c r="BX12" i="10"/>
  <c r="BX29" i="10" s="1"/>
  <c r="BX31" i="10" s="1"/>
  <c r="BX33" i="10" s="1"/>
  <c r="BX39" i="10"/>
  <c r="BY12" i="10"/>
  <c r="BY39" i="10"/>
  <c r="BZ12" i="10"/>
  <c r="BZ39" i="10"/>
  <c r="C55" i="15"/>
  <c r="C48" i="15"/>
  <c r="C45" i="10"/>
  <c r="C46" i="15" s="1"/>
  <c r="C39" i="15"/>
  <c r="C37" i="10"/>
  <c r="C38" i="15" s="1"/>
  <c r="C31" i="15"/>
  <c r="C28" i="10"/>
  <c r="C29" i="15" s="1"/>
  <c r="C22" i="15"/>
  <c r="C19" i="10"/>
  <c r="C20" i="15" s="1"/>
  <c r="D9" i="15"/>
  <c r="C150" i="13"/>
  <c r="C15" i="1"/>
  <c r="C16" i="13" s="1"/>
  <c r="C16" i="1"/>
  <c r="C17" i="13" s="1"/>
  <c r="C24" i="1"/>
  <c r="C25" i="13" s="1"/>
  <c r="C25" i="1"/>
  <c r="C26" i="13" s="1"/>
  <c r="C29" i="1"/>
  <c r="C30" i="13" s="1"/>
  <c r="C30" i="1"/>
  <c r="C31" i="13" s="1"/>
  <c r="C31" i="1"/>
  <c r="C32" i="13" s="1"/>
  <c r="C37" i="1"/>
  <c r="C38" i="13" s="1"/>
  <c r="C38" i="1"/>
  <c r="C39" i="13" s="1"/>
  <c r="C46" i="1"/>
  <c r="C47" i="13" s="1"/>
  <c r="C47" i="1"/>
  <c r="C48" i="13" s="1"/>
  <c r="C51" i="1"/>
  <c r="C52" i="13" s="1"/>
  <c r="C52" i="1"/>
  <c r="C53" i="13" s="1"/>
  <c r="C56" i="1"/>
  <c r="C57" i="13" s="1"/>
  <c r="C57" i="1"/>
  <c r="C58" i="13" s="1"/>
  <c r="C66" i="1"/>
  <c r="C67" i="13" s="1"/>
  <c r="C67" i="1"/>
  <c r="C68" i="13" s="1"/>
  <c r="C75" i="1"/>
  <c r="C76" i="13" s="1"/>
  <c r="C76" i="1"/>
  <c r="C77" i="13" s="1"/>
  <c r="C80" i="1"/>
  <c r="C81" i="13" s="1"/>
  <c r="C81" i="1"/>
  <c r="C82" i="13" s="1"/>
  <c r="C82" i="1"/>
  <c r="C83" i="13" s="1"/>
  <c r="C88" i="1"/>
  <c r="C89" i="13" s="1"/>
  <c r="C89" i="1"/>
  <c r="C90" i="13" s="1"/>
  <c r="C97" i="1"/>
  <c r="C98" i="13" s="1"/>
  <c r="C98" i="1"/>
  <c r="C99" i="13" s="1"/>
  <c r="C102" i="1"/>
  <c r="C103" i="13" s="1"/>
  <c r="C103" i="1"/>
  <c r="C104" i="13" s="1"/>
  <c r="C107" i="1"/>
  <c r="C108" i="13" s="1"/>
  <c r="C108" i="1"/>
  <c r="C109" i="13" s="1"/>
  <c r="C139" i="13"/>
  <c r="C145" i="13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T20" i="9"/>
  <c r="AU20" i="9"/>
  <c r="AV20" i="9"/>
  <c r="AW20" i="9"/>
  <c r="AX20" i="9"/>
  <c r="AY20" i="9"/>
  <c r="AZ20" i="9"/>
  <c r="BA20" i="9"/>
  <c r="BB20" i="9"/>
  <c r="BC20" i="9"/>
  <c r="BD20" i="9"/>
  <c r="BE20" i="9"/>
  <c r="BF20" i="9"/>
  <c r="BG20" i="9"/>
  <c r="BI20" i="9"/>
  <c r="BJ20" i="9"/>
  <c r="BK20" i="9"/>
  <c r="BL20" i="9"/>
  <c r="BM20" i="9"/>
  <c r="BN20" i="9"/>
  <c r="BO20" i="9"/>
  <c r="BP20" i="9"/>
  <c r="BQ20" i="9"/>
  <c r="BR20" i="9"/>
  <c r="BS20" i="9"/>
  <c r="BT20" i="9"/>
  <c r="BU20" i="9"/>
  <c r="BV20" i="9"/>
  <c r="BW20" i="9"/>
  <c r="BX20" i="9"/>
  <c r="BY20" i="9"/>
  <c r="BZ20" i="9"/>
  <c r="B12" i="11"/>
  <c r="B13" i="16" s="1"/>
  <c r="B12" i="10"/>
  <c r="B13" i="15" s="1"/>
  <c r="B12" i="9"/>
  <c r="B13" i="17" s="1"/>
  <c r="D21" i="17" l="1"/>
  <c r="D31" i="9"/>
  <c r="D41" i="9"/>
  <c r="BI20" i="10"/>
  <c r="BI22" i="10" s="1"/>
  <c r="BI24" i="10" s="1"/>
  <c r="BI29" i="10"/>
  <c r="BI31" i="10" s="1"/>
  <c r="BI33" i="10" s="1"/>
  <c r="D34" i="17"/>
  <c r="D42" i="17"/>
  <c r="D15" i="17"/>
  <c r="D19" i="17"/>
  <c r="D20" i="17"/>
  <c r="D33" i="17"/>
  <c r="BI46" i="10"/>
  <c r="BI48" i="10" s="1"/>
  <c r="BI50" i="10" s="1"/>
  <c r="D89" i="13"/>
  <c r="D109" i="13"/>
  <c r="D135" i="13"/>
  <c r="D18" i="13"/>
  <c r="D36" i="13"/>
  <c r="D53" i="13"/>
  <c r="D18" i="17"/>
  <c r="D69" i="13"/>
  <c r="D26" i="13"/>
  <c r="D58" i="13"/>
  <c r="D99" i="13"/>
  <c r="D121" i="13"/>
  <c r="D27" i="13"/>
  <c r="D68" i="13"/>
  <c r="D108" i="13"/>
  <c r="D13" i="17"/>
  <c r="D125" i="13"/>
  <c r="D38" i="13"/>
  <c r="D76" i="13"/>
  <c r="D40" i="13"/>
  <c r="D81" i="13"/>
  <c r="D139" i="13"/>
  <c r="D52" i="13"/>
  <c r="D87" i="13"/>
  <c r="D136" i="13"/>
  <c r="D134" i="13"/>
  <c r="D78" i="13"/>
  <c r="D33" i="13"/>
  <c r="D71" i="13"/>
  <c r="D17" i="13"/>
  <c r="D54" i="13"/>
  <c r="D90" i="13"/>
  <c r="D30" i="13"/>
  <c r="D47" i="13"/>
  <c r="D59" i="13"/>
  <c r="D82" i="13"/>
  <c r="D103" i="13"/>
  <c r="D20" i="13"/>
  <c r="D117" i="13"/>
  <c r="D122" i="13"/>
  <c r="D120" i="13"/>
  <c r="D65" i="13"/>
  <c r="D31" i="13"/>
  <c r="D48" i="13"/>
  <c r="D83" i="13"/>
  <c r="D104" i="13"/>
  <c r="D32" i="13"/>
  <c r="D49" i="13"/>
  <c r="D67" i="13"/>
  <c r="D84" i="13"/>
  <c r="D105" i="13"/>
  <c r="D25" i="13"/>
  <c r="D39" i="13"/>
  <c r="D57" i="13"/>
  <c r="D77" i="13"/>
  <c r="D98" i="13"/>
  <c r="D132" i="13"/>
  <c r="D16" i="17"/>
  <c r="D42" i="13"/>
  <c r="C12" i="10"/>
  <c r="C13" i="15" s="1"/>
  <c r="C12" i="11"/>
  <c r="C13" i="16" s="1"/>
  <c r="C125" i="13"/>
  <c r="C20" i="9"/>
  <c r="C21" i="17" s="1"/>
  <c r="BF41" i="10"/>
  <c r="BA41" i="10"/>
  <c r="AO41" i="10"/>
  <c r="AK41" i="10"/>
  <c r="AG41" i="10"/>
  <c r="AC41" i="10"/>
  <c r="U41" i="10"/>
  <c r="BR41" i="10"/>
  <c r="AV41" i="10"/>
  <c r="AN41" i="10"/>
  <c r="BY41" i="10"/>
  <c r="C31" i="9"/>
  <c r="C13" i="17"/>
  <c r="BI41" i="10"/>
  <c r="AI41" i="9"/>
  <c r="C53" i="1"/>
  <c r="C54" i="13" s="1"/>
  <c r="C48" i="1"/>
  <c r="C119" i="1" s="1"/>
  <c r="C120" i="13" s="1"/>
  <c r="C39" i="1"/>
  <c r="C58" i="1"/>
  <c r="C121" i="1" s="1"/>
  <c r="C122" i="13" s="1"/>
  <c r="E121" i="1"/>
  <c r="BL117" i="1"/>
  <c r="D118" i="13" s="1"/>
  <c r="C32" i="1"/>
  <c r="C33" i="13" s="1"/>
  <c r="C26" i="1"/>
  <c r="C116" i="1" s="1"/>
  <c r="C117" i="13" s="1"/>
  <c r="D110" i="13"/>
  <c r="C109" i="1"/>
  <c r="C110" i="13" s="1"/>
  <c r="C104" i="1"/>
  <c r="C105" i="13" s="1"/>
  <c r="C99" i="1"/>
  <c r="C133" i="1" s="1"/>
  <c r="C134" i="13" s="1"/>
  <c r="D100" i="13"/>
  <c r="BY33" i="11"/>
  <c r="BC20" i="10"/>
  <c r="BC22" i="10" s="1"/>
  <c r="BC24" i="10" s="1"/>
  <c r="S41" i="9"/>
  <c r="I31" i="9"/>
  <c r="H41" i="9"/>
  <c r="BD41" i="10"/>
  <c r="AA41" i="10"/>
  <c r="S41" i="10"/>
  <c r="K41" i="10"/>
  <c r="BW41" i="10"/>
  <c r="BO41" i="10"/>
  <c r="AH41" i="10"/>
  <c r="AD41" i="10"/>
  <c r="Z41" i="10"/>
  <c r="V41" i="10"/>
  <c r="BK133" i="1"/>
  <c r="C92" i="1"/>
  <c r="D93" i="13"/>
  <c r="C90" i="1"/>
  <c r="D91" i="13"/>
  <c r="C83" i="1"/>
  <c r="BL130" i="1"/>
  <c r="D131" i="13" s="1"/>
  <c r="C77" i="1"/>
  <c r="C70" i="1"/>
  <c r="C68" i="1"/>
  <c r="G41" i="1"/>
  <c r="C41" i="1" s="1"/>
  <c r="H117" i="1"/>
  <c r="BU19" i="1"/>
  <c r="C17" i="1"/>
  <c r="D19" i="1"/>
  <c r="BQ19" i="1"/>
  <c r="BM19" i="1"/>
  <c r="BD19" i="1"/>
  <c r="AN19" i="1"/>
  <c r="X19" i="1"/>
  <c r="H19" i="1"/>
  <c r="BZ31" i="9"/>
  <c r="AQ41" i="9"/>
  <c r="C41" i="9"/>
  <c r="BG41" i="9"/>
  <c r="X41" i="9"/>
  <c r="AY41" i="9"/>
  <c r="P41" i="9"/>
  <c r="BL41" i="9"/>
  <c r="BB41" i="9"/>
  <c r="E31" i="9"/>
  <c r="AT41" i="9"/>
  <c r="AK41" i="9"/>
  <c r="BP41" i="9"/>
  <c r="AJ41" i="9"/>
  <c r="AK44" i="11"/>
  <c r="L22" i="11"/>
  <c r="AC33" i="11"/>
  <c r="N22" i="11"/>
  <c r="BP22" i="11"/>
  <c r="AO22" i="11"/>
  <c r="AI44" i="11"/>
  <c r="AY22" i="11"/>
  <c r="AR33" i="11"/>
  <c r="BY22" i="11"/>
  <c r="BR22" i="11"/>
  <c r="BM44" i="11"/>
  <c r="AI22" i="11"/>
  <c r="BJ44" i="11"/>
  <c r="BJ22" i="11"/>
  <c r="P33" i="11"/>
  <c r="P22" i="11"/>
  <c r="AY56" i="10"/>
  <c r="R20" i="10"/>
  <c r="R22" i="10" s="1"/>
  <c r="R24" i="10" s="1"/>
  <c r="AY41" i="10"/>
  <c r="BN20" i="10"/>
  <c r="BN22" i="10" s="1"/>
  <c r="BN24" i="10" s="1"/>
  <c r="BC41" i="10"/>
  <c r="O29" i="10"/>
  <c r="O31" i="10" s="1"/>
  <c r="O33" i="10" s="1"/>
  <c r="AY29" i="10"/>
  <c r="AY31" i="10" s="1"/>
  <c r="AY33" i="10" s="1"/>
  <c r="U20" i="10"/>
  <c r="U22" i="10" s="1"/>
  <c r="U24" i="10" s="1"/>
  <c r="BU20" i="10"/>
  <c r="BU22" i="10" s="1"/>
  <c r="BU24" i="10" s="1"/>
  <c r="O46" i="10"/>
  <c r="O48" i="10" s="1"/>
  <c r="O50" i="10" s="1"/>
  <c r="BV41" i="10"/>
  <c r="BR29" i="10"/>
  <c r="BR31" i="10" s="1"/>
  <c r="BR33" i="10" s="1"/>
  <c r="U46" i="10"/>
  <c r="U48" i="10" s="1"/>
  <c r="U50" i="10" s="1"/>
  <c r="BV20" i="10"/>
  <c r="BV22" i="10" s="1"/>
  <c r="BV24" i="10" s="1"/>
  <c r="BM46" i="10"/>
  <c r="BM48" i="10" s="1"/>
  <c r="BM50" i="10" s="1"/>
  <c r="AD46" i="10"/>
  <c r="AD48" i="10" s="1"/>
  <c r="AD50" i="10" s="1"/>
  <c r="O41" i="10"/>
  <c r="V56" i="10"/>
  <c r="BU46" i="10"/>
  <c r="BU48" i="10" s="1"/>
  <c r="BU50" i="10" s="1"/>
  <c r="O20" i="10"/>
  <c r="O22" i="10" s="1"/>
  <c r="O24" i="10" s="1"/>
  <c r="AE46" i="10"/>
  <c r="AE48" i="10" s="1"/>
  <c r="AE50" i="10" s="1"/>
  <c r="V20" i="10"/>
  <c r="V22" i="10" s="1"/>
  <c r="V24" i="10" s="1"/>
  <c r="BU41" i="10"/>
  <c r="BG41" i="10"/>
  <c r="R46" i="10"/>
  <c r="R48" i="10" s="1"/>
  <c r="R50" i="10" s="1"/>
  <c r="G56" i="10"/>
  <c r="BN41" i="10"/>
  <c r="AN29" i="10"/>
  <c r="AN31" i="10" s="1"/>
  <c r="AN33" i="10" s="1"/>
  <c r="G41" i="10"/>
  <c r="BF20" i="10"/>
  <c r="BF22" i="10" s="1"/>
  <c r="BF24" i="10" s="1"/>
  <c r="AM41" i="10"/>
  <c r="V46" i="10"/>
  <c r="V48" i="10" s="1"/>
  <c r="V50" i="10" s="1"/>
  <c r="F46" i="10"/>
  <c r="F48" i="10" s="1"/>
  <c r="F50" i="10" s="1"/>
  <c r="BX56" i="10"/>
  <c r="BR20" i="10"/>
  <c r="BR22" i="10" s="1"/>
  <c r="BR24" i="10" s="1"/>
  <c r="AV29" i="10"/>
  <c r="AV31" i="10" s="1"/>
  <c r="AV33" i="10" s="1"/>
  <c r="AN20" i="10"/>
  <c r="AN22" i="10" s="1"/>
  <c r="AN24" i="10" s="1"/>
  <c r="X20" i="10"/>
  <c r="X22" i="10" s="1"/>
  <c r="X24" i="10" s="1"/>
  <c r="Q20" i="10"/>
  <c r="Q22" i="10" s="1"/>
  <c r="Q24" i="10" s="1"/>
  <c r="G46" i="10"/>
  <c r="G48" i="10" s="1"/>
  <c r="G50" i="10" s="1"/>
  <c r="F41" i="10"/>
  <c r="BU33" i="11"/>
  <c r="BA44" i="11"/>
  <c r="AW44" i="11"/>
  <c r="AR44" i="11"/>
  <c r="AC22" i="11"/>
  <c r="X44" i="11"/>
  <c r="BN41" i="9"/>
  <c r="BQ31" i="9"/>
  <c r="D13" i="15"/>
  <c r="BT46" i="10"/>
  <c r="BT48" i="10" s="1"/>
  <c r="BT50" i="10" s="1"/>
  <c r="BR56" i="10"/>
  <c r="AW56" i="10"/>
  <c r="AG46" i="10"/>
  <c r="AG48" i="10" s="1"/>
  <c r="AG50" i="10" s="1"/>
  <c r="AN56" i="10"/>
  <c r="BR46" i="10"/>
  <c r="BR48" i="10" s="1"/>
  <c r="BR50" i="10" s="1"/>
  <c r="AY20" i="10"/>
  <c r="AY22" i="10" s="1"/>
  <c r="AY24" i="10" s="1"/>
  <c r="AW46" i="10"/>
  <c r="AW48" i="10" s="1"/>
  <c r="AW50" i="10" s="1"/>
  <c r="G29" i="10"/>
  <c r="G31" i="10" s="1"/>
  <c r="G33" i="10" s="1"/>
  <c r="BD22" i="11"/>
  <c r="AY44" i="11"/>
  <c r="AF22" i="11"/>
  <c r="BT29" i="10"/>
  <c r="BT31" i="10" s="1"/>
  <c r="BT33" i="10" s="1"/>
  <c r="BB56" i="10"/>
  <c r="AR41" i="10"/>
  <c r="AN46" i="10"/>
  <c r="AN48" i="10" s="1"/>
  <c r="AN50" i="10" s="1"/>
  <c r="AG20" i="10"/>
  <c r="AG22" i="10" s="1"/>
  <c r="AG24" i="10" s="1"/>
  <c r="AC29" i="10"/>
  <c r="AC31" i="10" s="1"/>
  <c r="AC33" i="10" s="1"/>
  <c r="Q46" i="10"/>
  <c r="Q48" i="10" s="1"/>
  <c r="Q50" i="10" s="1"/>
  <c r="L56" i="10"/>
  <c r="J41" i="10"/>
  <c r="BX33" i="11"/>
  <c r="BR44" i="11"/>
  <c r="O33" i="11"/>
  <c r="AA41" i="9"/>
  <c r="J31" i="9"/>
  <c r="Q41" i="10"/>
  <c r="N56" i="10"/>
  <c r="Y44" i="11"/>
  <c r="X56" i="10"/>
  <c r="BN46" i="10"/>
  <c r="BN48" i="10" s="1"/>
  <c r="BN50" i="10" s="1"/>
  <c r="BB29" i="10"/>
  <c r="BB31" i="10" s="1"/>
  <c r="BB33" i="10" s="1"/>
  <c r="AX41" i="10"/>
  <c r="AR20" i="10"/>
  <c r="AR22" i="10" s="1"/>
  <c r="AR24" i="10" s="1"/>
  <c r="AH46" i="10"/>
  <c r="AH48" i="10" s="1"/>
  <c r="AH50" i="10" s="1"/>
  <c r="AD56" i="10"/>
  <c r="X41" i="10"/>
  <c r="T41" i="10"/>
  <c r="R41" i="10"/>
  <c r="L29" i="10"/>
  <c r="L31" i="10" s="1"/>
  <c r="L33" i="10" s="1"/>
  <c r="J20" i="10"/>
  <c r="J22" i="10" s="1"/>
  <c r="J24" i="10" s="1"/>
  <c r="AS22" i="11"/>
  <c r="Y22" i="11"/>
  <c r="N33" i="11"/>
  <c r="AS31" i="9"/>
  <c r="BV46" i="10"/>
  <c r="BV48" i="10" s="1"/>
  <c r="BV50" i="10" s="1"/>
  <c r="BU56" i="10"/>
  <c r="BM56" i="10"/>
  <c r="BB41" i="10"/>
  <c r="AX46" i="10"/>
  <c r="AX48" i="10" s="1"/>
  <c r="AX50" i="10" s="1"/>
  <c r="AV20" i="10"/>
  <c r="AV22" i="10" s="1"/>
  <c r="AV24" i="10" s="1"/>
  <c r="AM20" i="10"/>
  <c r="AM22" i="10" s="1"/>
  <c r="AM24" i="10" s="1"/>
  <c r="AG29" i="10"/>
  <c r="AG31" i="10" s="1"/>
  <c r="AG33" i="10" s="1"/>
  <c r="AE41" i="10"/>
  <c r="AC20" i="10"/>
  <c r="AC22" i="10" s="1"/>
  <c r="AC24" i="10" s="1"/>
  <c r="V29" i="10"/>
  <c r="V31" i="10" s="1"/>
  <c r="V33" i="10" s="1"/>
  <c r="L41" i="10"/>
  <c r="BV44" i="11"/>
  <c r="BG22" i="11"/>
  <c r="U22" i="11"/>
  <c r="H33" i="11"/>
  <c r="BK46" i="10"/>
  <c r="BK48" i="10" s="1"/>
  <c r="BK50" i="10" s="1"/>
  <c r="BD56" i="10"/>
  <c r="D13" i="16"/>
  <c r="BM41" i="9"/>
  <c r="AZ41" i="9"/>
  <c r="Q41" i="9"/>
  <c r="BP56" i="10"/>
  <c r="BK41" i="10"/>
  <c r="AP46" i="10"/>
  <c r="AP48" i="10" s="1"/>
  <c r="AP50" i="10" s="1"/>
  <c r="AJ46" i="10"/>
  <c r="AJ48" i="10" s="1"/>
  <c r="AJ50" i="10" s="1"/>
  <c r="AI56" i="10"/>
  <c r="AE29" i="10"/>
  <c r="AE31" i="10" s="1"/>
  <c r="AE33" i="10" s="1"/>
  <c r="AD29" i="10"/>
  <c r="AD31" i="10" s="1"/>
  <c r="AD33" i="10" s="1"/>
  <c r="BM33" i="11"/>
  <c r="T44" i="11"/>
  <c r="AG41" i="9"/>
  <c r="BQ46" i="10"/>
  <c r="BQ48" i="10" s="1"/>
  <c r="BQ50" i="10" s="1"/>
  <c r="BP41" i="10"/>
  <c r="BM20" i="10"/>
  <c r="BM22" i="10" s="1"/>
  <c r="BM24" i="10" s="1"/>
  <c r="BD46" i="10"/>
  <c r="BD48" i="10" s="1"/>
  <c r="BD50" i="10" s="1"/>
  <c r="AZ20" i="10"/>
  <c r="AZ22" i="10" s="1"/>
  <c r="AZ24" i="10" s="1"/>
  <c r="AV56" i="10"/>
  <c r="AU46" i="10"/>
  <c r="AU48" i="10" s="1"/>
  <c r="AU50" i="10" s="1"/>
  <c r="AP41" i="10"/>
  <c r="AJ41" i="10"/>
  <c r="AI46" i="10"/>
  <c r="AI48" i="10" s="1"/>
  <c r="AI50" i="10" s="1"/>
  <c r="AE20" i="10"/>
  <c r="AE22" i="10" s="1"/>
  <c r="AE24" i="10" s="1"/>
  <c r="AD20" i="10"/>
  <c r="AD22" i="10" s="1"/>
  <c r="AD24" i="10" s="1"/>
  <c r="BP33" i="11"/>
  <c r="AZ44" i="11"/>
  <c r="AS44" i="11"/>
  <c r="AO44" i="11"/>
  <c r="AF44" i="11"/>
  <c r="T33" i="11"/>
  <c r="BI41" i="9"/>
  <c r="AX41" i="9"/>
  <c r="BQ41" i="10"/>
  <c r="BK29" i="10"/>
  <c r="BK31" i="10" s="1"/>
  <c r="BK33" i="10" s="1"/>
  <c r="BE56" i="10"/>
  <c r="AU41" i="10"/>
  <c r="AQ56" i="10"/>
  <c r="AV44" i="11"/>
  <c r="AB44" i="11"/>
  <c r="BV41" i="9"/>
  <c r="AC41" i="9"/>
  <c r="BK20" i="10"/>
  <c r="BK22" i="10" s="1"/>
  <c r="BK24" i="10" s="1"/>
  <c r="BE46" i="10"/>
  <c r="BE48" i="10" s="1"/>
  <c r="BE50" i="10" s="1"/>
  <c r="BD29" i="10"/>
  <c r="BD31" i="10" s="1"/>
  <c r="BD33" i="10" s="1"/>
  <c r="AV46" i="10"/>
  <c r="AV48" i="10" s="1"/>
  <c r="AV50" i="10" s="1"/>
  <c r="AI29" i="10"/>
  <c r="AI31" i="10" s="1"/>
  <c r="AI33" i="10" s="1"/>
  <c r="AG56" i="10"/>
  <c r="Q56" i="10"/>
  <c r="F56" i="10"/>
  <c r="AV33" i="11"/>
  <c r="D34" i="16" s="1"/>
  <c r="AB33" i="11"/>
  <c r="S44" i="11"/>
  <c r="BT41" i="9"/>
  <c r="AR41" i="9"/>
  <c r="AB41" i="9"/>
  <c r="BP29" i="10"/>
  <c r="BP31" i="10" s="1"/>
  <c r="BP33" i="10" s="1"/>
  <c r="BD20" i="10"/>
  <c r="BD22" i="10" s="1"/>
  <c r="BD24" i="10" s="1"/>
  <c r="AJ20" i="10"/>
  <c r="AJ22" i="10" s="1"/>
  <c r="AJ24" i="10" s="1"/>
  <c r="BW22" i="11"/>
  <c r="BO22" i="11"/>
  <c r="AN44" i="11"/>
  <c r="I44" i="11"/>
  <c r="BZ29" i="10"/>
  <c r="BZ31" i="10" s="1"/>
  <c r="BZ33" i="10" s="1"/>
  <c r="BZ41" i="10"/>
  <c r="BZ46" i="10"/>
  <c r="BZ48" i="10" s="1"/>
  <c r="BZ50" i="10" s="1"/>
  <c r="BZ20" i="10"/>
  <c r="BZ22" i="10" s="1"/>
  <c r="BZ24" i="10" s="1"/>
  <c r="BZ56" i="10"/>
  <c r="AQ41" i="10"/>
  <c r="AQ46" i="10"/>
  <c r="AQ48" i="10" s="1"/>
  <c r="AQ50" i="10" s="1"/>
  <c r="AQ20" i="10"/>
  <c r="AQ22" i="10" s="1"/>
  <c r="AQ24" i="10" s="1"/>
  <c r="I20" i="10"/>
  <c r="I22" i="10" s="1"/>
  <c r="I24" i="10" s="1"/>
  <c r="I29" i="10"/>
  <c r="I31" i="10" s="1"/>
  <c r="I33" i="10" s="1"/>
  <c r="I41" i="10"/>
  <c r="I56" i="10"/>
  <c r="AG33" i="11"/>
  <c r="AG22" i="11"/>
  <c r="AG44" i="11"/>
  <c r="AL20" i="10"/>
  <c r="AL22" i="10" s="1"/>
  <c r="AL24" i="10" s="1"/>
  <c r="AL29" i="10"/>
  <c r="AL31" i="10" s="1"/>
  <c r="AL33" i="10" s="1"/>
  <c r="AL41" i="10"/>
  <c r="AL56" i="10"/>
  <c r="AQ22" i="11"/>
  <c r="AQ33" i="11"/>
  <c r="AQ44" i="11"/>
  <c r="AF41" i="10"/>
  <c r="AF29" i="10"/>
  <c r="AF31" i="10" s="1"/>
  <c r="AF33" i="10" s="1"/>
  <c r="AF46" i="10"/>
  <c r="AF48" i="10" s="1"/>
  <c r="AF50" i="10" s="1"/>
  <c r="AF56" i="10"/>
  <c r="AF20" i="10"/>
  <c r="AF22" i="10" s="1"/>
  <c r="AF24" i="10" s="1"/>
  <c r="N29" i="10"/>
  <c r="N31" i="10" s="1"/>
  <c r="N33" i="10" s="1"/>
  <c r="N41" i="10"/>
  <c r="N20" i="10"/>
  <c r="N22" i="10" s="1"/>
  <c r="N24" i="10" s="1"/>
  <c r="E20" i="10"/>
  <c r="E22" i="10" s="1"/>
  <c r="E24" i="10" s="1"/>
  <c r="E41" i="10"/>
  <c r="E46" i="10"/>
  <c r="E48" i="10" s="1"/>
  <c r="E50" i="10" s="1"/>
  <c r="BE33" i="11"/>
  <c r="BE22" i="11"/>
  <c r="G33" i="11"/>
  <c r="G22" i="11"/>
  <c r="BJ56" i="10"/>
  <c r="AT20" i="10"/>
  <c r="AT22" i="10" s="1"/>
  <c r="AT24" i="10" s="1"/>
  <c r="AT41" i="10"/>
  <c r="AT56" i="10"/>
  <c r="AT29" i="10"/>
  <c r="AT31" i="10" s="1"/>
  <c r="AT33" i="10" s="1"/>
  <c r="AJ22" i="11"/>
  <c r="AJ33" i="11"/>
  <c r="AJ44" i="11"/>
  <c r="BS20" i="10"/>
  <c r="BS22" i="10" s="1"/>
  <c r="BS24" i="10" s="1"/>
  <c r="BS56" i="10"/>
  <c r="BS29" i="10"/>
  <c r="BS31" i="10" s="1"/>
  <c r="BS33" i="10" s="1"/>
  <c r="BS46" i="10"/>
  <c r="BS48" i="10" s="1"/>
  <c r="BS50" i="10" s="1"/>
  <c r="W56" i="10"/>
  <c r="BZ33" i="11"/>
  <c r="BZ22" i="11"/>
  <c r="J33" i="11"/>
  <c r="J22" i="11"/>
  <c r="BJ29" i="10"/>
  <c r="BJ31" i="10" s="1"/>
  <c r="BJ33" i="10" s="1"/>
  <c r="BJ41" i="10"/>
  <c r="BJ20" i="10"/>
  <c r="BJ22" i="10" s="1"/>
  <c r="BJ24" i="10" s="1"/>
  <c r="W20" i="10"/>
  <c r="W22" i="10" s="1"/>
  <c r="W24" i="10" s="1"/>
  <c r="W29" i="10"/>
  <c r="W31" i="10" s="1"/>
  <c r="W33" i="10" s="1"/>
  <c r="W41" i="10"/>
  <c r="Q33" i="11"/>
  <c r="Q44" i="11"/>
  <c r="BS41" i="10"/>
  <c r="M41" i="10"/>
  <c r="M46" i="10"/>
  <c r="M48" i="10" s="1"/>
  <c r="M50" i="10" s="1"/>
  <c r="M20" i="10"/>
  <c r="M22" i="10" s="1"/>
  <c r="M24" i="10" s="1"/>
  <c r="AA22" i="11"/>
  <c r="AA33" i="11"/>
  <c r="AA44" i="11"/>
  <c r="D22" i="11"/>
  <c r="BM41" i="10"/>
  <c r="BE41" i="10"/>
  <c r="AW41" i="10"/>
  <c r="AR46" i="10"/>
  <c r="AR48" i="10" s="1"/>
  <c r="AR50" i="10" s="1"/>
  <c r="AO29" i="10"/>
  <c r="AO31" i="10" s="1"/>
  <c r="AO33" i="10" s="1"/>
  <c r="AI41" i="10"/>
  <c r="J46" i="10"/>
  <c r="J48" i="10" s="1"/>
  <c r="J50" i="10" s="1"/>
  <c r="BU41" i="9"/>
  <c r="BJ31" i="9"/>
  <c r="U31" i="9"/>
  <c r="BX41" i="10"/>
  <c r="BG29" i="10"/>
  <c r="BG31" i="10" s="1"/>
  <c r="BG33" i="10" s="1"/>
  <c r="BE29" i="10"/>
  <c r="BE31" i="10" s="1"/>
  <c r="BE33" i="10" s="1"/>
  <c r="AZ46" i="10"/>
  <c r="AZ48" i="10" s="1"/>
  <c r="AZ50" i="10" s="1"/>
  <c r="AW29" i="10"/>
  <c r="AW31" i="10" s="1"/>
  <c r="AW33" i="10" s="1"/>
  <c r="AO56" i="10"/>
  <c r="AC56" i="10"/>
  <c r="H46" i="10"/>
  <c r="H48" i="10" s="1"/>
  <c r="H50" i="10" s="1"/>
  <c r="D56" i="10"/>
  <c r="BK44" i="11"/>
  <c r="BG44" i="11"/>
  <c r="BD44" i="11"/>
  <c r="BA22" i="11"/>
  <c r="AK33" i="11"/>
  <c r="U44" i="11"/>
  <c r="S33" i="11"/>
  <c r="L44" i="11"/>
  <c r="F33" i="11"/>
  <c r="BF41" i="9"/>
  <c r="BS31" i="9"/>
  <c r="AP31" i="9"/>
  <c r="Y41" i="9"/>
  <c r="BY46" i="10"/>
  <c r="BY48" i="10" s="1"/>
  <c r="BY50" i="10" s="1"/>
  <c r="BG20" i="10"/>
  <c r="BG22" i="10" s="1"/>
  <c r="BG24" i="10" s="1"/>
  <c r="BE24" i="10"/>
  <c r="AZ41" i="10"/>
  <c r="AW24" i="10"/>
  <c r="AO20" i="10"/>
  <c r="AO22" i="10" s="1"/>
  <c r="AO24" i="10" s="1"/>
  <c r="AH20" i="10"/>
  <c r="AH22" i="10" s="1"/>
  <c r="AH24" i="10" s="1"/>
  <c r="X29" i="10"/>
  <c r="X31" i="10" s="1"/>
  <c r="X33" i="10" s="1"/>
  <c r="H41" i="10"/>
  <c r="F29" i="10"/>
  <c r="F31" i="10" s="1"/>
  <c r="F33" i="10" s="1"/>
  <c r="D41" i="10"/>
  <c r="BU44" i="11"/>
  <c r="BN44" i="11"/>
  <c r="BK22" i="11"/>
  <c r="O44" i="11"/>
  <c r="F22" i="11"/>
  <c r="AN41" i="9"/>
  <c r="AF41" i="9"/>
  <c r="M41" i="9"/>
  <c r="BY31" i="9"/>
  <c r="BD31" i="9"/>
  <c r="Z31" i="9"/>
  <c r="T31" i="9"/>
  <c r="L41" i="9"/>
  <c r="BY20" i="10"/>
  <c r="BY22" i="10" s="1"/>
  <c r="BY24" i="10" s="1"/>
  <c r="BG56" i="10"/>
  <c r="AO46" i="10"/>
  <c r="AO48" i="10" s="1"/>
  <c r="AO50" i="10" s="1"/>
  <c r="D29" i="10"/>
  <c r="D31" i="10" s="1"/>
  <c r="BX22" i="11"/>
  <c r="AZ33" i="11"/>
  <c r="AW22" i="11"/>
  <c r="AN22" i="11"/>
  <c r="X22" i="11"/>
  <c r="H22" i="11"/>
  <c r="BC41" i="9"/>
  <c r="AU41" i="9"/>
  <c r="K41" i="9"/>
  <c r="AO31" i="9"/>
  <c r="F24" i="10"/>
  <c r="AV31" i="9"/>
  <c r="D32" i="17" s="1"/>
  <c r="AS20" i="10"/>
  <c r="AS22" i="10" s="1"/>
  <c r="AS24" i="10" s="1"/>
  <c r="AS46" i="10"/>
  <c r="AS48" i="10" s="1"/>
  <c r="AS50" i="10" s="1"/>
  <c r="AS29" i="10"/>
  <c r="AS31" i="10" s="1"/>
  <c r="AS33" i="10" s="1"/>
  <c r="AS56" i="10"/>
  <c r="BT41" i="10"/>
  <c r="BQ24" i="10"/>
  <c r="AP24" i="10"/>
  <c r="AP29" i="10"/>
  <c r="AP31" i="10" s="1"/>
  <c r="AP33" i="10" s="1"/>
  <c r="AP56" i="10"/>
  <c r="Y20" i="10"/>
  <c r="Y22" i="10" s="1"/>
  <c r="Y24" i="10" s="1"/>
  <c r="Y56" i="10"/>
  <c r="Y29" i="10"/>
  <c r="Y31" i="10" s="1"/>
  <c r="Y33" i="10" s="1"/>
  <c r="AU24" i="10"/>
  <c r="BF29" i="10"/>
  <c r="BF31" i="10" s="1"/>
  <c r="BF33" i="10" s="1"/>
  <c r="BF56" i="10"/>
  <c r="AK20" i="10"/>
  <c r="AK22" i="10" s="1"/>
  <c r="AK24" i="10" s="1"/>
  <c r="AK46" i="10"/>
  <c r="AK48" i="10" s="1"/>
  <c r="AK50" i="10" s="1"/>
  <c r="AK29" i="10"/>
  <c r="AK31" i="10" s="1"/>
  <c r="AK33" i="10" s="1"/>
  <c r="AK56" i="10"/>
  <c r="BL29" i="10"/>
  <c r="BL31" i="10" s="1"/>
  <c r="BL33" i="10" s="1"/>
  <c r="BL56" i="10"/>
  <c r="Z29" i="10"/>
  <c r="Z31" i="10" s="1"/>
  <c r="Z33" i="10" s="1"/>
  <c r="Z56" i="10"/>
  <c r="Z20" i="10"/>
  <c r="Z22" i="10" s="1"/>
  <c r="Z24" i="10" s="1"/>
  <c r="BX20" i="10"/>
  <c r="BX22" i="10" s="1"/>
  <c r="BX24" i="10" s="1"/>
  <c r="BX46" i="10"/>
  <c r="BX48" i="10" s="1"/>
  <c r="BX50" i="10" s="1"/>
  <c r="BL46" i="10"/>
  <c r="BL48" i="10" s="1"/>
  <c r="BL50" i="10" s="1"/>
  <c r="AH29" i="10"/>
  <c r="AH31" i="10" s="1"/>
  <c r="AH33" i="10" s="1"/>
  <c r="AH56" i="10"/>
  <c r="AB20" i="10"/>
  <c r="AB22" i="10" s="1"/>
  <c r="AB24" i="10" s="1"/>
  <c r="AB46" i="10"/>
  <c r="AB48" i="10" s="1"/>
  <c r="AB50" i="10" s="1"/>
  <c r="AB29" i="10"/>
  <c r="AB31" i="10" s="1"/>
  <c r="AB33" i="10" s="1"/>
  <c r="AB41" i="10"/>
  <c r="BT24" i="10"/>
  <c r="BL41" i="10"/>
  <c r="BA20" i="10"/>
  <c r="BA22" i="10" s="1"/>
  <c r="BA24" i="10" s="1"/>
  <c r="BA46" i="10"/>
  <c r="BA48" i="10" s="1"/>
  <c r="BA50" i="10" s="1"/>
  <c r="BA29" i="10"/>
  <c r="BA31" i="10" s="1"/>
  <c r="BA33" i="10" s="1"/>
  <c r="BA56" i="10"/>
  <c r="P24" i="10"/>
  <c r="P29" i="10"/>
  <c r="P31" i="10" s="1"/>
  <c r="P33" i="10" s="1"/>
  <c r="P41" i="10"/>
  <c r="P46" i="10"/>
  <c r="P48" i="10" s="1"/>
  <c r="P50" i="10" s="1"/>
  <c r="P56" i="10"/>
  <c r="BY29" i="10"/>
  <c r="BY31" i="10" s="1"/>
  <c r="BY33" i="10" s="1"/>
  <c r="BY56" i="10"/>
  <c r="BW20" i="10"/>
  <c r="BW22" i="10" s="1"/>
  <c r="BW24" i="10" s="1"/>
  <c r="BW46" i="10"/>
  <c r="BW48" i="10" s="1"/>
  <c r="BW50" i="10" s="1"/>
  <c r="BW29" i="10"/>
  <c r="BW31" i="10" s="1"/>
  <c r="BW33" i="10" s="1"/>
  <c r="BW56" i="10"/>
  <c r="AX24" i="10"/>
  <c r="AX29" i="10"/>
  <c r="AX31" i="10" s="1"/>
  <c r="AX33" i="10" s="1"/>
  <c r="AX56" i="10"/>
  <c r="AS41" i="10"/>
  <c r="Y46" i="10"/>
  <c r="Y48" i="10" s="1"/>
  <c r="Y50" i="10" s="1"/>
  <c r="BT56" i="10"/>
  <c r="BO20" i="10"/>
  <c r="BO22" i="10" s="1"/>
  <c r="BO24" i="10" s="1"/>
  <c r="BO46" i="10"/>
  <c r="BO48" i="10" s="1"/>
  <c r="BO50" i="10" s="1"/>
  <c r="BO29" i="10"/>
  <c r="BO31" i="10" s="1"/>
  <c r="BO33" i="10" s="1"/>
  <c r="BO56" i="10"/>
  <c r="BL20" i="10"/>
  <c r="BL22" i="10" s="1"/>
  <c r="BL24" i="10" s="1"/>
  <c r="BF46" i="10"/>
  <c r="BF48" i="10" s="1"/>
  <c r="BF50" i="10" s="1"/>
  <c r="Z46" i="10"/>
  <c r="Z48" i="10" s="1"/>
  <c r="Z50" i="10" s="1"/>
  <c r="Y41" i="10"/>
  <c r="BP24" i="10"/>
  <c r="BB24" i="10"/>
  <c r="R41" i="9"/>
  <c r="R31" i="9"/>
  <c r="S20" i="10"/>
  <c r="S22" i="10" s="1"/>
  <c r="S24" i="10" s="1"/>
  <c r="S46" i="10"/>
  <c r="S48" i="10" s="1"/>
  <c r="S50" i="10" s="1"/>
  <c r="S29" i="10"/>
  <c r="S31" i="10" s="1"/>
  <c r="S33" i="10" s="1"/>
  <c r="S56" i="10"/>
  <c r="K20" i="10"/>
  <c r="K22" i="10" s="1"/>
  <c r="K24" i="10" s="1"/>
  <c r="K46" i="10"/>
  <c r="K48" i="10" s="1"/>
  <c r="K50" i="10" s="1"/>
  <c r="K29" i="10"/>
  <c r="K31" i="10" s="1"/>
  <c r="K33" i="10" s="1"/>
  <c r="K56" i="10"/>
  <c r="BP46" i="10"/>
  <c r="BP48" i="10" s="1"/>
  <c r="BP50" i="10" s="1"/>
  <c r="BB46" i="10"/>
  <c r="BB48" i="10" s="1"/>
  <c r="BB50" i="10" s="1"/>
  <c r="AT46" i="10"/>
  <c r="AT48" i="10" s="1"/>
  <c r="AT50" i="10" s="1"/>
  <c r="AL46" i="10"/>
  <c r="AL48" i="10" s="1"/>
  <c r="AL50" i="10" s="1"/>
  <c r="AC46" i="10"/>
  <c r="AC48" i="10" s="1"/>
  <c r="AC50" i="10" s="1"/>
  <c r="T20" i="10"/>
  <c r="T22" i="10" s="1"/>
  <c r="T24" i="10" s="1"/>
  <c r="T46" i="10"/>
  <c r="T48" i="10" s="1"/>
  <c r="T50" i="10" s="1"/>
  <c r="H24" i="10"/>
  <c r="H29" i="10"/>
  <c r="H31" i="10" s="1"/>
  <c r="H33" i="10" s="1"/>
  <c r="H56" i="10"/>
  <c r="BL44" i="11"/>
  <c r="BL22" i="11"/>
  <c r="BL33" i="11"/>
  <c r="BI22" i="11"/>
  <c r="BI44" i="11"/>
  <c r="BI33" i="11"/>
  <c r="AU22" i="11"/>
  <c r="AU33" i="11"/>
  <c r="AU44" i="11"/>
  <c r="AD33" i="11"/>
  <c r="AD44" i="11"/>
  <c r="AD22" i="11"/>
  <c r="M22" i="11"/>
  <c r="M33" i="11"/>
  <c r="M44" i="11"/>
  <c r="BS22" i="11"/>
  <c r="BS33" i="11"/>
  <c r="BS44" i="11"/>
  <c r="AL33" i="11"/>
  <c r="AL44" i="11"/>
  <c r="BQ56" i="10"/>
  <c r="BQ29" i="10"/>
  <c r="BQ31" i="10" s="1"/>
  <c r="BQ33" i="10" s="1"/>
  <c r="BI56" i="10"/>
  <c r="BC56" i="10"/>
  <c r="BC29" i="10"/>
  <c r="BC31" i="10" s="1"/>
  <c r="BC33" i="10" s="1"/>
  <c r="AU56" i="10"/>
  <c r="AU29" i="10"/>
  <c r="AU31" i="10" s="1"/>
  <c r="AU33" i="10" s="1"/>
  <c r="AM56" i="10"/>
  <c r="AM29" i="10"/>
  <c r="AM31" i="10" s="1"/>
  <c r="AM33" i="10" s="1"/>
  <c r="BB33" i="11"/>
  <c r="BB44" i="11"/>
  <c r="BV56" i="10"/>
  <c r="BN56" i="10"/>
  <c r="AZ56" i="10"/>
  <c r="AR56" i="10"/>
  <c r="AJ56" i="10"/>
  <c r="AA20" i="10"/>
  <c r="AA22" i="10" s="1"/>
  <c r="AA24" i="10" s="1"/>
  <c r="AA46" i="10"/>
  <c r="AA48" i="10" s="1"/>
  <c r="AA50" i="10" s="1"/>
  <c r="AA29" i="10"/>
  <c r="AA31" i="10" s="1"/>
  <c r="AA33" i="10" s="1"/>
  <c r="AA56" i="10"/>
  <c r="T56" i="10"/>
  <c r="L24" i="10"/>
  <c r="D24" i="10"/>
  <c r="BT44" i="11"/>
  <c r="BT22" i="11"/>
  <c r="BT33" i="11"/>
  <c r="AW41" i="9"/>
  <c r="AW31" i="9"/>
  <c r="AT33" i="11"/>
  <c r="AT44" i="11"/>
  <c r="L46" i="10"/>
  <c r="L48" i="10" s="1"/>
  <c r="L50" i="10" s="1"/>
  <c r="D46" i="10"/>
  <c r="D48" i="10" s="1"/>
  <c r="D50" i="10" s="1"/>
  <c r="BZ44" i="11"/>
  <c r="BV33" i="11"/>
  <c r="BQ22" i="11"/>
  <c r="BQ44" i="11"/>
  <c r="BN33" i="11"/>
  <c r="AX44" i="11"/>
  <c r="AX22" i="11"/>
  <c r="AX33" i="11"/>
  <c r="W22" i="11"/>
  <c r="W33" i="11"/>
  <c r="W44" i="11"/>
  <c r="BC22" i="11"/>
  <c r="BC44" i="11"/>
  <c r="AE22" i="11"/>
  <c r="AE33" i="11"/>
  <c r="AE44" i="11"/>
  <c r="U56" i="10"/>
  <c r="U29" i="10"/>
  <c r="U31" i="10" s="1"/>
  <c r="U33" i="10" s="1"/>
  <c r="M56" i="10"/>
  <c r="M29" i="10"/>
  <c r="M31" i="10" s="1"/>
  <c r="M33" i="10" s="1"/>
  <c r="E56" i="10"/>
  <c r="E29" i="10"/>
  <c r="E31" i="10" s="1"/>
  <c r="E33" i="10" s="1"/>
  <c r="AM22" i="11"/>
  <c r="AM33" i="11"/>
  <c r="AM44" i="11"/>
  <c r="F31" i="9"/>
  <c r="F41" i="9"/>
  <c r="R56" i="10"/>
  <c r="J56" i="10"/>
  <c r="BF44" i="11"/>
  <c r="BF22" i="11"/>
  <c r="BF33" i="11"/>
  <c r="V33" i="11"/>
  <c r="V44" i="11"/>
  <c r="AP33" i="11"/>
  <c r="AH33" i="11"/>
  <c r="Z33" i="11"/>
  <c r="R33" i="11"/>
  <c r="J44" i="11"/>
  <c r="E44" i="11"/>
  <c r="BO31" i="9"/>
  <c r="BO41" i="9"/>
  <c r="BW44" i="11"/>
  <c r="BO44" i="11"/>
  <c r="AP22" i="11"/>
  <c r="AH22" i="11"/>
  <c r="Z22" i="11"/>
  <c r="R22" i="11"/>
  <c r="Q22" i="11"/>
  <c r="I22" i="11"/>
  <c r="E33" i="11"/>
  <c r="BX31" i="9"/>
  <c r="BX41" i="9"/>
  <c r="AL31" i="9"/>
  <c r="AL41" i="9"/>
  <c r="BA31" i="9"/>
  <c r="BA41" i="9"/>
  <c r="BK41" i="9"/>
  <c r="BK31" i="9"/>
  <c r="V31" i="9"/>
  <c r="V41" i="9"/>
  <c r="K22" i="11"/>
  <c r="K33" i="11"/>
  <c r="AH41" i="9"/>
  <c r="AH31" i="9"/>
  <c r="BW31" i="9"/>
  <c r="BW41" i="9"/>
  <c r="BE31" i="9"/>
  <c r="AE41" i="9"/>
  <c r="AE31" i="9"/>
  <c r="O41" i="9"/>
  <c r="O31" i="9"/>
  <c r="BR31" i="9"/>
  <c r="AD31" i="9"/>
  <c r="AD41" i="9"/>
  <c r="N31" i="9"/>
  <c r="N41" i="9"/>
  <c r="AM41" i="9"/>
  <c r="AM31" i="9"/>
  <c r="W41" i="9"/>
  <c r="W31" i="9"/>
  <c r="G41" i="9"/>
  <c r="G31" i="9"/>
  <c r="D33" i="16"/>
  <c r="C19" i="18"/>
  <c r="D20" i="15"/>
  <c r="D40" i="15"/>
  <c r="D44" i="16"/>
  <c r="D46" i="15"/>
  <c r="C13" i="18"/>
  <c r="D22" i="16"/>
  <c r="C14" i="18"/>
  <c r="D14" i="13"/>
  <c r="D38" i="15"/>
  <c r="D29" i="15"/>
  <c r="C16" i="18"/>
  <c r="C42" i="17" l="1"/>
  <c r="D43" i="9"/>
  <c r="D58" i="9" s="1"/>
  <c r="C32" i="17"/>
  <c r="C22" i="11"/>
  <c r="C23" i="16" s="1"/>
  <c r="C33" i="11"/>
  <c r="D35" i="11" s="1"/>
  <c r="D52" i="11" s="1"/>
  <c r="C40" i="13"/>
  <c r="C35" i="1"/>
  <c r="BI43" i="1" s="1"/>
  <c r="BI118" i="1" s="1"/>
  <c r="C22" i="9"/>
  <c r="AD35" i="9" s="1"/>
  <c r="C59" i="13"/>
  <c r="BH43" i="9"/>
  <c r="BH58" i="9" s="1"/>
  <c r="C44" i="11"/>
  <c r="BW46" i="11" s="1"/>
  <c r="BW53" i="11" s="1"/>
  <c r="C100" i="13"/>
  <c r="C64" i="1"/>
  <c r="BH72" i="1" s="1"/>
  <c r="BH129" i="1" s="1"/>
  <c r="C49" i="13"/>
  <c r="AL43" i="9"/>
  <c r="AL58" i="9" s="1"/>
  <c r="Z43" i="9"/>
  <c r="Z58" i="9" s="1"/>
  <c r="AG43" i="9"/>
  <c r="AG58" i="9" s="1"/>
  <c r="BT43" i="9"/>
  <c r="BT58" i="9" s="1"/>
  <c r="M43" i="9"/>
  <c r="M58" i="9" s="1"/>
  <c r="R43" i="9"/>
  <c r="R58" i="9" s="1"/>
  <c r="C120" i="1"/>
  <c r="C121" i="13" s="1"/>
  <c r="BB43" i="9"/>
  <c r="BB58" i="9" s="1"/>
  <c r="C135" i="1"/>
  <c r="C136" i="13" s="1"/>
  <c r="C134" i="1"/>
  <c r="C135" i="13" s="1"/>
  <c r="AD43" i="9"/>
  <c r="AD58" i="9" s="1"/>
  <c r="V43" i="9"/>
  <c r="V58" i="9" s="1"/>
  <c r="AW43" i="9"/>
  <c r="AW58" i="9" s="1"/>
  <c r="AF43" i="9"/>
  <c r="AF58" i="9" s="1"/>
  <c r="U43" i="9"/>
  <c r="U58" i="9" s="1"/>
  <c r="Q43" i="9"/>
  <c r="Q58" i="9" s="1"/>
  <c r="AM43" i="9"/>
  <c r="AM58" i="9" s="1"/>
  <c r="Y43" i="9"/>
  <c r="Y58" i="9" s="1"/>
  <c r="O43" i="9"/>
  <c r="O58" i="9" s="1"/>
  <c r="AS43" i="9"/>
  <c r="AS58" i="9" s="1"/>
  <c r="K43" i="9"/>
  <c r="K58" i="9" s="1"/>
  <c r="AY43" i="9"/>
  <c r="AY58" i="9" s="1"/>
  <c r="AE43" i="9"/>
  <c r="AE58" i="9" s="1"/>
  <c r="BK43" i="9"/>
  <c r="BK58" i="9" s="1"/>
  <c r="BX43" i="9"/>
  <c r="BX58" i="9" s="1"/>
  <c r="BQ43" i="9"/>
  <c r="BQ58" i="9" s="1"/>
  <c r="BJ43" i="9"/>
  <c r="BJ58" i="9" s="1"/>
  <c r="BS43" i="9"/>
  <c r="BS58" i="9" s="1"/>
  <c r="AJ43" i="9"/>
  <c r="AJ58" i="9" s="1"/>
  <c r="L43" i="9"/>
  <c r="L58" i="9" s="1"/>
  <c r="AN43" i="9"/>
  <c r="AN58" i="9" s="1"/>
  <c r="S43" i="9"/>
  <c r="S58" i="9" s="1"/>
  <c r="G43" i="9"/>
  <c r="G58" i="9" s="1"/>
  <c r="J43" i="9"/>
  <c r="J58" i="9" s="1"/>
  <c r="BA43" i="9"/>
  <c r="BA58" i="9" s="1"/>
  <c r="BO43" i="9"/>
  <c r="BO58" i="9" s="1"/>
  <c r="AU43" i="9"/>
  <c r="AU58" i="9" s="1"/>
  <c r="BU43" i="9"/>
  <c r="BU58" i="9" s="1"/>
  <c r="AX43" i="9"/>
  <c r="AX58" i="9" s="1"/>
  <c r="AI43" i="9"/>
  <c r="AI58" i="9" s="1"/>
  <c r="N43" i="9"/>
  <c r="N58" i="9" s="1"/>
  <c r="AH43" i="9"/>
  <c r="AH58" i="9" s="1"/>
  <c r="BC43" i="9"/>
  <c r="BC58" i="9" s="1"/>
  <c r="AP43" i="9"/>
  <c r="AP58" i="9" s="1"/>
  <c r="AB43" i="9"/>
  <c r="AB58" i="9" s="1"/>
  <c r="BI43" i="9"/>
  <c r="BI58" i="9" s="1"/>
  <c r="BZ43" i="9"/>
  <c r="BZ58" i="9" s="1"/>
  <c r="W43" i="9"/>
  <c r="W58" i="9" s="1"/>
  <c r="BW43" i="9"/>
  <c r="BW58" i="9" s="1"/>
  <c r="F43" i="9"/>
  <c r="F58" i="9" s="1"/>
  <c r="BF43" i="9"/>
  <c r="BF58" i="9" s="1"/>
  <c r="BE43" i="9"/>
  <c r="BE58" i="9" s="1"/>
  <c r="BM43" i="9"/>
  <c r="BM58" i="9" s="1"/>
  <c r="BP43" i="9"/>
  <c r="BP58" i="9" s="1"/>
  <c r="H43" i="9"/>
  <c r="H58" i="9" s="1"/>
  <c r="AA43" i="9"/>
  <c r="AA58" i="9" s="1"/>
  <c r="D45" i="16"/>
  <c r="C117" i="1"/>
  <c r="C118" i="13" s="1"/>
  <c r="C27" i="13"/>
  <c r="D42" i="15"/>
  <c r="AR43" i="9"/>
  <c r="AR58" i="9" s="1"/>
  <c r="AO43" i="9"/>
  <c r="AO58" i="9" s="1"/>
  <c r="I43" i="9"/>
  <c r="I58" i="9" s="1"/>
  <c r="AV43" i="9"/>
  <c r="BR43" i="9"/>
  <c r="BR58" i="9" s="1"/>
  <c r="D57" i="15"/>
  <c r="AT43" i="9"/>
  <c r="AT58" i="9" s="1"/>
  <c r="X43" i="9"/>
  <c r="X58" i="9" s="1"/>
  <c r="D51" i="15"/>
  <c r="BY43" i="9"/>
  <c r="BY58" i="9" s="1"/>
  <c r="AZ43" i="9"/>
  <c r="AZ58" i="9" s="1"/>
  <c r="AY58" i="10"/>
  <c r="AY70" i="10" s="1"/>
  <c r="AC43" i="9"/>
  <c r="AC58" i="9" s="1"/>
  <c r="D23" i="16"/>
  <c r="BV43" i="9"/>
  <c r="BV58" i="9" s="1"/>
  <c r="P43" i="9"/>
  <c r="P58" i="9" s="1"/>
  <c r="E43" i="9"/>
  <c r="E58" i="9" s="1"/>
  <c r="BL43" i="9"/>
  <c r="BL58" i="9" s="1"/>
  <c r="AQ43" i="9"/>
  <c r="AQ58" i="9" s="1"/>
  <c r="D23" i="15"/>
  <c r="D25" i="15"/>
  <c r="D21" i="15"/>
  <c r="C93" i="13"/>
  <c r="C86" i="1"/>
  <c r="BH94" i="1" s="1"/>
  <c r="BH132" i="1" s="1"/>
  <c r="C91" i="13"/>
  <c r="C84" i="13"/>
  <c r="C131" i="1"/>
  <c r="C132" i="13" s="1"/>
  <c r="C130" i="1"/>
  <c r="C131" i="13" s="1"/>
  <c r="C78" i="13"/>
  <c r="C69" i="13"/>
  <c r="C71" i="13"/>
  <c r="C42" i="13"/>
  <c r="C18" i="13"/>
  <c r="C19" i="1"/>
  <c r="AK43" i="9"/>
  <c r="AK58" i="9" s="1"/>
  <c r="T43" i="9"/>
  <c r="T58" i="9" s="1"/>
  <c r="BG43" i="9"/>
  <c r="BG58" i="9" s="1"/>
  <c r="BN43" i="9"/>
  <c r="BN58" i="9" s="1"/>
  <c r="BD43" i="9"/>
  <c r="BD58" i="9" s="1"/>
  <c r="AO24" i="11"/>
  <c r="AO51" i="11" s="1"/>
  <c r="AP24" i="11"/>
  <c r="AP51" i="11" s="1"/>
  <c r="AR58" i="10"/>
  <c r="AR70" i="10" s="1"/>
  <c r="V58" i="10"/>
  <c r="V70" i="10" s="1"/>
  <c r="O58" i="10"/>
  <c r="O70" i="10" s="1"/>
  <c r="BE58" i="10"/>
  <c r="BE70" i="10" s="1"/>
  <c r="BJ58" i="10"/>
  <c r="BJ70" i="10" s="1"/>
  <c r="R58" i="10"/>
  <c r="BU58" i="10"/>
  <c r="BN58" i="10"/>
  <c r="BN70" i="10" s="1"/>
  <c r="BV58" i="10"/>
  <c r="BV70" i="10" s="1"/>
  <c r="BG58" i="10"/>
  <c r="AI58" i="10"/>
  <c r="AN58" i="10"/>
  <c r="AN70" i="10" s="1"/>
  <c r="AG58" i="10"/>
  <c r="AG70" i="10" s="1"/>
  <c r="BR58" i="10"/>
  <c r="AE58" i="10"/>
  <c r="AE70" i="10" s="1"/>
  <c r="G58" i="10"/>
  <c r="G70" i="10" s="1"/>
  <c r="Q58" i="10"/>
  <c r="Q70" i="10" s="1"/>
  <c r="AD58" i="10"/>
  <c r="AW58" i="10"/>
  <c r="AW70" i="10" s="1"/>
  <c r="AT58" i="10"/>
  <c r="F58" i="10"/>
  <c r="BS58" i="10"/>
  <c r="BS70" i="10" s="1"/>
  <c r="X58" i="10"/>
  <c r="X70" i="10" s="1"/>
  <c r="BK58" i="10"/>
  <c r="BK70" i="10" s="1"/>
  <c r="AV58" i="10"/>
  <c r="J58" i="10"/>
  <c r="J70" i="10" s="1"/>
  <c r="T58" i="10"/>
  <c r="T70" i="10" s="1"/>
  <c r="AF58" i="10"/>
  <c r="AF70" i="10" s="1"/>
  <c r="BD58" i="10"/>
  <c r="Y58" i="10"/>
  <c r="Y70" i="10" s="1"/>
  <c r="AH58" i="10"/>
  <c r="AH70" i="10" s="1"/>
  <c r="AX58" i="10"/>
  <c r="AX70" i="10" s="1"/>
  <c r="W58" i="10"/>
  <c r="W70" i="10" s="1"/>
  <c r="J24" i="11"/>
  <c r="J51" i="11" s="1"/>
  <c r="AJ58" i="10"/>
  <c r="AJ70" i="10" s="1"/>
  <c r="X24" i="11"/>
  <c r="X51" i="11" s="1"/>
  <c r="BM58" i="10"/>
  <c r="BM70" i="10" s="1"/>
  <c r="N58" i="10"/>
  <c r="N70" i="10" s="1"/>
  <c r="AZ58" i="10"/>
  <c r="AZ70" i="10" s="1"/>
  <c r="AH24" i="11"/>
  <c r="AH51" i="11" s="1"/>
  <c r="H58" i="10"/>
  <c r="H70" i="10" s="1"/>
  <c r="AQ24" i="11"/>
  <c r="AQ51" i="11" s="1"/>
  <c r="BW58" i="10"/>
  <c r="AO58" i="10"/>
  <c r="D33" i="10"/>
  <c r="D34" i="15" s="1"/>
  <c r="D32" i="15"/>
  <c r="M58" i="10"/>
  <c r="M70" i="10" s="1"/>
  <c r="BX24" i="11"/>
  <c r="BX51" i="11" s="1"/>
  <c r="AC58" i="10"/>
  <c r="AU58" i="10"/>
  <c r="AU70" i="10" s="1"/>
  <c r="L58" i="10"/>
  <c r="L70" i="10" s="1"/>
  <c r="E58" i="10"/>
  <c r="D30" i="15"/>
  <c r="K58" i="10"/>
  <c r="K70" i="10" s="1"/>
  <c r="BY58" i="10"/>
  <c r="BY70" i="10" s="1"/>
  <c r="BX58" i="10"/>
  <c r="BX70" i="10" s="1"/>
  <c r="I58" i="10"/>
  <c r="BT58" i="10"/>
  <c r="BT70" i="10" s="1"/>
  <c r="Z58" i="10"/>
  <c r="Z70" i="10" s="1"/>
  <c r="BZ58" i="10"/>
  <c r="D49" i="15"/>
  <c r="D47" i="15"/>
  <c r="AX24" i="11"/>
  <c r="AX51" i="11" s="1"/>
  <c r="AL58" i="10"/>
  <c r="BL58" i="10"/>
  <c r="BL70" i="10" s="1"/>
  <c r="AQ58" i="10"/>
  <c r="AQ35" i="11"/>
  <c r="AQ52" i="11" s="1"/>
  <c r="BU35" i="11"/>
  <c r="BU52" i="11" s="1"/>
  <c r="Z35" i="11"/>
  <c r="Z52" i="11" s="1"/>
  <c r="AR24" i="11"/>
  <c r="AR51" i="11" s="1"/>
  <c r="BZ24" i="11"/>
  <c r="BZ51" i="11" s="1"/>
  <c r="BI24" i="11"/>
  <c r="BI51" i="11" s="1"/>
  <c r="BO58" i="10"/>
  <c r="P58" i="10"/>
  <c r="BA58" i="10"/>
  <c r="AB58" i="10"/>
  <c r="BI58" i="10"/>
  <c r="AK58" i="10"/>
  <c r="D24" i="11"/>
  <c r="D51" i="11" s="1"/>
  <c r="BG24" i="11"/>
  <c r="BG51" i="11" s="1"/>
  <c r="O35" i="11"/>
  <c r="O52" i="11" s="1"/>
  <c r="BL35" i="11"/>
  <c r="BL52" i="11" s="1"/>
  <c r="BB58" i="10"/>
  <c r="AF24" i="11"/>
  <c r="AF51" i="11" s="1"/>
  <c r="I24" i="11"/>
  <c r="I51" i="11" s="1"/>
  <c r="H24" i="11"/>
  <c r="H51" i="11" s="1"/>
  <c r="BF24" i="11"/>
  <c r="BF51" i="11" s="1"/>
  <c r="G24" i="11"/>
  <c r="G51" i="11" s="1"/>
  <c r="AM24" i="11"/>
  <c r="AM51" i="11" s="1"/>
  <c r="O24" i="11"/>
  <c r="O51" i="11" s="1"/>
  <c r="BT24" i="11"/>
  <c r="BT51" i="11" s="1"/>
  <c r="BP24" i="11"/>
  <c r="BP51" i="11" s="1"/>
  <c r="AA58" i="10"/>
  <c r="BS24" i="11"/>
  <c r="BS51" i="11" s="1"/>
  <c r="BL24" i="11"/>
  <c r="BL51" i="11" s="1"/>
  <c r="S58" i="10"/>
  <c r="BC58" i="10"/>
  <c r="AS24" i="11"/>
  <c r="AS51" i="11" s="1"/>
  <c r="F24" i="11"/>
  <c r="F51" i="11" s="1"/>
  <c r="AG24" i="11"/>
  <c r="AG51" i="11" s="1"/>
  <c r="Q24" i="11"/>
  <c r="Q51" i="11" s="1"/>
  <c r="P24" i="11"/>
  <c r="P51" i="11" s="1"/>
  <c r="N24" i="11"/>
  <c r="N51" i="11" s="1"/>
  <c r="W24" i="11"/>
  <c r="W51" i="11" s="1"/>
  <c r="Q35" i="11"/>
  <c r="Q52" i="11" s="1"/>
  <c r="AT24" i="11"/>
  <c r="AT51" i="11" s="1"/>
  <c r="M24" i="11"/>
  <c r="M51" i="11" s="1"/>
  <c r="AU24" i="11"/>
  <c r="AU51" i="11" s="1"/>
  <c r="U58" i="10"/>
  <c r="T24" i="11"/>
  <c r="T51" i="11" s="1"/>
  <c r="BP58" i="10"/>
  <c r="AP58" i="10"/>
  <c r="AS58" i="10"/>
  <c r="S24" i="11"/>
  <c r="S51" i="11" s="1"/>
  <c r="BO24" i="11"/>
  <c r="BO51" i="11" s="1"/>
  <c r="AE24" i="11"/>
  <c r="AE51" i="11" s="1"/>
  <c r="BR24" i="11"/>
  <c r="BR51" i="11" s="1"/>
  <c r="AC24" i="11"/>
  <c r="AC51" i="11" s="1"/>
  <c r="AZ24" i="11"/>
  <c r="AZ51" i="11" s="1"/>
  <c r="AB24" i="11"/>
  <c r="AB51" i="11" s="1"/>
  <c r="BY35" i="11"/>
  <c r="BY52" i="11" s="1"/>
  <c r="AM58" i="10"/>
  <c r="K24" i="11"/>
  <c r="K51" i="11" s="1"/>
  <c r="BD24" i="11"/>
  <c r="BD51" i="11" s="1"/>
  <c r="Z24" i="11"/>
  <c r="Z51" i="11" s="1"/>
  <c r="AA24" i="11"/>
  <c r="AA51" i="11" s="1"/>
  <c r="BW24" i="11"/>
  <c r="BW51" i="11" s="1"/>
  <c r="V24" i="11"/>
  <c r="V51" i="11" s="1"/>
  <c r="BN24" i="11"/>
  <c r="BN51" i="11" s="1"/>
  <c r="AK24" i="11"/>
  <c r="AK51" i="11" s="1"/>
  <c r="BQ24" i="11"/>
  <c r="BQ51" i="11" s="1"/>
  <c r="BY24" i="11"/>
  <c r="BY51" i="11" s="1"/>
  <c r="AD24" i="11"/>
  <c r="AD51" i="11" s="1"/>
  <c r="AL24" i="11"/>
  <c r="AL51" i="11" s="1"/>
  <c r="BF58" i="10"/>
  <c r="BQ58" i="10"/>
  <c r="AI24" i="11"/>
  <c r="AI51" i="11" s="1"/>
  <c r="BV24" i="11"/>
  <c r="BV51" i="11" s="1"/>
  <c r="AX35" i="11"/>
  <c r="AX52" i="11" s="1"/>
  <c r="AN35" i="11"/>
  <c r="AN52" i="11" s="1"/>
  <c r="BJ24" i="11"/>
  <c r="BJ51" i="11" s="1"/>
  <c r="BV46" i="11" l="1"/>
  <c r="BV53" i="11" s="1"/>
  <c r="N35" i="11"/>
  <c r="N52" i="11" s="1"/>
  <c r="F35" i="11"/>
  <c r="F52" i="11" s="1"/>
  <c r="E35" i="11"/>
  <c r="E52" i="11" s="1"/>
  <c r="BF35" i="9"/>
  <c r="BF57" i="9" s="1"/>
  <c r="J35" i="9"/>
  <c r="J57" i="9" s="1"/>
  <c r="AJ35" i="9"/>
  <c r="AJ57" i="9" s="1"/>
  <c r="BD35" i="11"/>
  <c r="BD52" i="11" s="1"/>
  <c r="AO35" i="11"/>
  <c r="AO52" i="11" s="1"/>
  <c r="C34" i="16"/>
  <c r="M35" i="11"/>
  <c r="M52" i="11" s="1"/>
  <c r="I35" i="11"/>
  <c r="I52" i="11" s="1"/>
  <c r="AY24" i="11"/>
  <c r="AY51" i="11" s="1"/>
  <c r="E24" i="11"/>
  <c r="E51" i="11" s="1"/>
  <c r="R24" i="11"/>
  <c r="R51" i="11" s="1"/>
  <c r="AV24" i="11"/>
  <c r="AV51" i="11" s="1"/>
  <c r="L24" i="11"/>
  <c r="L51" i="11" s="1"/>
  <c r="AN24" i="11"/>
  <c r="AN51" i="11" s="1"/>
  <c r="BM24" i="11"/>
  <c r="BM51" i="11" s="1"/>
  <c r="BC24" i="11"/>
  <c r="BC51" i="11" s="1"/>
  <c r="BE24" i="11"/>
  <c r="BE51" i="11" s="1"/>
  <c r="AW24" i="11"/>
  <c r="AW51" i="11" s="1"/>
  <c r="U24" i="11"/>
  <c r="U51" i="11" s="1"/>
  <c r="BK24" i="11"/>
  <c r="BK51" i="11" s="1"/>
  <c r="AJ24" i="11"/>
  <c r="AJ51" i="11" s="1"/>
  <c r="Y24" i="11"/>
  <c r="Y51" i="11" s="1"/>
  <c r="BU24" i="11"/>
  <c r="BU51" i="11" s="1"/>
  <c r="BB24" i="11"/>
  <c r="BB51" i="11" s="1"/>
  <c r="BH24" i="11"/>
  <c r="BH51" i="11" s="1"/>
  <c r="BA24" i="11"/>
  <c r="BA51" i="11" s="1"/>
  <c r="Q35" i="9"/>
  <c r="Q57" i="9" s="1"/>
  <c r="BO35" i="11"/>
  <c r="BO52" i="11" s="1"/>
  <c r="BQ35" i="11"/>
  <c r="BQ52" i="11" s="1"/>
  <c r="AS35" i="11"/>
  <c r="AS52" i="11" s="1"/>
  <c r="BB35" i="11"/>
  <c r="BB52" i="11" s="1"/>
  <c r="BK35" i="11"/>
  <c r="BK52" i="11" s="1"/>
  <c r="AE35" i="11"/>
  <c r="AE52" i="11" s="1"/>
  <c r="AW35" i="11"/>
  <c r="AW52" i="11" s="1"/>
  <c r="BT35" i="11"/>
  <c r="BT52" i="11" s="1"/>
  <c r="AF35" i="11"/>
  <c r="AF52" i="11" s="1"/>
  <c r="S35" i="11"/>
  <c r="S52" i="11" s="1"/>
  <c r="L35" i="11"/>
  <c r="L52" i="11" s="1"/>
  <c r="AD35" i="11"/>
  <c r="AD52" i="11" s="1"/>
  <c r="AH35" i="11"/>
  <c r="AH52" i="11" s="1"/>
  <c r="AI35" i="11"/>
  <c r="AI52" i="11" s="1"/>
  <c r="BZ35" i="11"/>
  <c r="BZ52" i="11" s="1"/>
  <c r="X35" i="11"/>
  <c r="X52" i="11" s="1"/>
  <c r="BR35" i="11"/>
  <c r="BR52" i="11" s="1"/>
  <c r="AK35" i="11"/>
  <c r="AK52" i="11" s="1"/>
  <c r="BW35" i="11"/>
  <c r="BW52" i="11" s="1"/>
  <c r="BW55" i="11" s="1"/>
  <c r="F79" i="19" s="1"/>
  <c r="AG35" i="11"/>
  <c r="AG52" i="11" s="1"/>
  <c r="AV35" i="11"/>
  <c r="AV52" i="11" s="1"/>
  <c r="P35" i="11"/>
  <c r="P52" i="11" s="1"/>
  <c r="BI35" i="11"/>
  <c r="BI52" i="11" s="1"/>
  <c r="AL35" i="11"/>
  <c r="AL52" i="11" s="1"/>
  <c r="BP35" i="11"/>
  <c r="BP52" i="11" s="1"/>
  <c r="BG35" i="11"/>
  <c r="BG52" i="11" s="1"/>
  <c r="Y35" i="11"/>
  <c r="Y52" i="11" s="1"/>
  <c r="AA35" i="11"/>
  <c r="AA52" i="11" s="1"/>
  <c r="AC35" i="11"/>
  <c r="AC52" i="11" s="1"/>
  <c r="T35" i="11"/>
  <c r="T52" i="11" s="1"/>
  <c r="BF35" i="11"/>
  <c r="BF52" i="11" s="1"/>
  <c r="AB35" i="11"/>
  <c r="AB52" i="11" s="1"/>
  <c r="BX35" i="11"/>
  <c r="BX52" i="11" s="1"/>
  <c r="W35" i="11"/>
  <c r="W52" i="11" s="1"/>
  <c r="BM35" i="11"/>
  <c r="BM52" i="11" s="1"/>
  <c r="BA35" i="11"/>
  <c r="BA52" i="11" s="1"/>
  <c r="H35" i="11"/>
  <c r="H52" i="11" s="1"/>
  <c r="BE35" i="11"/>
  <c r="BE52" i="11" s="1"/>
  <c r="V35" i="11"/>
  <c r="V52" i="11" s="1"/>
  <c r="AP35" i="11"/>
  <c r="AP52" i="11" s="1"/>
  <c r="AZ35" i="11"/>
  <c r="AZ52" i="11" s="1"/>
  <c r="AZ55" i="11" s="1"/>
  <c r="F56" i="19" s="1"/>
  <c r="AM35" i="11"/>
  <c r="AM52" i="11" s="1"/>
  <c r="J35" i="11"/>
  <c r="J52" i="11" s="1"/>
  <c r="AY35" i="11"/>
  <c r="AY52" i="11" s="1"/>
  <c r="U35" i="11"/>
  <c r="U52" i="11" s="1"/>
  <c r="R35" i="11"/>
  <c r="R52" i="11" s="1"/>
  <c r="K35" i="11"/>
  <c r="K52" i="11" s="1"/>
  <c r="BH35" i="11"/>
  <c r="BH52" i="11" s="1"/>
  <c r="BV35" i="11"/>
  <c r="BV52" i="11" s="1"/>
  <c r="BC35" i="11"/>
  <c r="BC52" i="11" s="1"/>
  <c r="BN35" i="11"/>
  <c r="BN52" i="11" s="1"/>
  <c r="AU35" i="11"/>
  <c r="AU52" i="11" s="1"/>
  <c r="AT35" i="11"/>
  <c r="AT52" i="11" s="1"/>
  <c r="AT55" i="11" s="1"/>
  <c r="F50" i="19" s="1"/>
  <c r="BS35" i="11"/>
  <c r="BS52" i="11" s="1"/>
  <c r="AR35" i="11"/>
  <c r="AR52" i="11" s="1"/>
  <c r="BJ35" i="11"/>
  <c r="BJ52" i="11" s="1"/>
  <c r="G35" i="11"/>
  <c r="G52" i="11" s="1"/>
  <c r="AJ35" i="11"/>
  <c r="AJ52" i="11" s="1"/>
  <c r="BR35" i="9"/>
  <c r="BR57" i="9" s="1"/>
  <c r="BK35" i="9"/>
  <c r="BK57" i="9" s="1"/>
  <c r="P35" i="9"/>
  <c r="P57" i="9" s="1"/>
  <c r="BB35" i="9"/>
  <c r="BB57" i="9" s="1"/>
  <c r="T35" i="9"/>
  <c r="T57" i="9" s="1"/>
  <c r="AV35" i="9"/>
  <c r="AV45" i="9" s="1"/>
  <c r="BY35" i="9"/>
  <c r="BY57" i="9" s="1"/>
  <c r="U35" i="9"/>
  <c r="U57" i="9" s="1"/>
  <c r="AI35" i="9"/>
  <c r="AI57" i="9" s="1"/>
  <c r="AX35" i="9"/>
  <c r="AX57" i="9" s="1"/>
  <c r="AY35" i="9"/>
  <c r="AY45" i="9" s="1"/>
  <c r="AY60" i="9" s="1"/>
  <c r="AP35" i="9"/>
  <c r="AP57" i="9" s="1"/>
  <c r="W35" i="9"/>
  <c r="W57" i="9" s="1"/>
  <c r="D35" i="9"/>
  <c r="D57" i="9" s="1"/>
  <c r="AQ35" i="9"/>
  <c r="AQ57" i="9" s="1"/>
  <c r="BE35" i="9"/>
  <c r="BE57" i="9" s="1"/>
  <c r="AN35" i="9"/>
  <c r="AN57" i="9" s="1"/>
  <c r="AZ35" i="9"/>
  <c r="AZ45" i="9" s="1"/>
  <c r="AZ60" i="9" s="1"/>
  <c r="C72" i="1"/>
  <c r="C73" i="13" s="1"/>
  <c r="AV58" i="9"/>
  <c r="D59" i="17" s="1"/>
  <c r="D44" i="17"/>
  <c r="D36" i="17"/>
  <c r="BH35" i="9"/>
  <c r="BH57" i="9" s="1"/>
  <c r="C23" i="17"/>
  <c r="BU35" i="9"/>
  <c r="BU57" i="9" s="1"/>
  <c r="BI35" i="9"/>
  <c r="BI57" i="9" s="1"/>
  <c r="E35" i="9"/>
  <c r="E57" i="9" s="1"/>
  <c r="L35" i="9"/>
  <c r="L57" i="9" s="1"/>
  <c r="AT46" i="11"/>
  <c r="AT53" i="11" s="1"/>
  <c r="E46" i="11"/>
  <c r="E53" i="11" s="1"/>
  <c r="E55" i="11" s="1"/>
  <c r="F9" i="19" s="1"/>
  <c r="AF46" i="11"/>
  <c r="AF53" i="11" s="1"/>
  <c r="AF55" i="11" s="1"/>
  <c r="F36" i="19" s="1"/>
  <c r="AQ46" i="11"/>
  <c r="AQ53" i="11" s="1"/>
  <c r="AQ55" i="11" s="1"/>
  <c r="F47" i="19" s="1"/>
  <c r="BX46" i="11"/>
  <c r="BX53" i="11" s="1"/>
  <c r="AG46" i="11"/>
  <c r="AG53" i="11" s="1"/>
  <c r="AZ46" i="11"/>
  <c r="AZ53" i="11" s="1"/>
  <c r="BO35" i="9"/>
  <c r="BO57" i="9" s="1"/>
  <c r="H35" i="9"/>
  <c r="H57" i="9" s="1"/>
  <c r="N35" i="9"/>
  <c r="N57" i="9" s="1"/>
  <c r="AW35" i="9"/>
  <c r="AW57" i="9" s="1"/>
  <c r="BP35" i="9"/>
  <c r="BP57" i="9" s="1"/>
  <c r="BX35" i="9"/>
  <c r="BX57" i="9" s="1"/>
  <c r="V35" i="9"/>
  <c r="V57" i="9" s="1"/>
  <c r="AS35" i="9"/>
  <c r="AS45" i="9" s="1"/>
  <c r="AS60" i="9" s="1"/>
  <c r="M35" i="9"/>
  <c r="M57" i="9" s="1"/>
  <c r="AE35" i="9"/>
  <c r="AE57" i="9" s="1"/>
  <c r="AA35" i="9"/>
  <c r="AA57" i="9" s="1"/>
  <c r="AU35" i="9"/>
  <c r="AU57" i="9" s="1"/>
  <c r="AH35" i="9"/>
  <c r="AH57" i="9" s="1"/>
  <c r="AO35" i="9"/>
  <c r="AO45" i="9" s="1"/>
  <c r="AO60" i="9" s="1"/>
  <c r="BN35" i="9"/>
  <c r="BN57" i="9" s="1"/>
  <c r="X35" i="9"/>
  <c r="X57" i="9" s="1"/>
  <c r="AG35" i="9"/>
  <c r="AG57" i="9" s="1"/>
  <c r="BA35" i="9"/>
  <c r="BA57" i="9" s="1"/>
  <c r="AC35" i="9"/>
  <c r="AC57" i="9" s="1"/>
  <c r="BG35" i="9"/>
  <c r="BG57" i="9" s="1"/>
  <c r="AM35" i="9"/>
  <c r="AM57" i="9" s="1"/>
  <c r="K35" i="9"/>
  <c r="K57" i="9" s="1"/>
  <c r="BT35" i="9"/>
  <c r="BT57" i="9" s="1"/>
  <c r="BW35" i="9"/>
  <c r="BW57" i="9" s="1"/>
  <c r="BL35" i="9"/>
  <c r="BM35" i="9"/>
  <c r="BM57" i="9" s="1"/>
  <c r="AB35" i="9"/>
  <c r="AB57" i="9" s="1"/>
  <c r="BQ35" i="9"/>
  <c r="BQ57" i="9" s="1"/>
  <c r="F35" i="9"/>
  <c r="F57" i="9" s="1"/>
  <c r="BJ35" i="9"/>
  <c r="BJ57" i="9" s="1"/>
  <c r="I35" i="9"/>
  <c r="I57" i="9" s="1"/>
  <c r="O35" i="9"/>
  <c r="O57" i="9" s="1"/>
  <c r="AR35" i="9"/>
  <c r="AR57" i="9" s="1"/>
  <c r="G35" i="9"/>
  <c r="G57" i="9" s="1"/>
  <c r="AL35" i="9"/>
  <c r="AL45" i="9" s="1"/>
  <c r="AL60" i="9" s="1"/>
  <c r="BZ35" i="9"/>
  <c r="BZ57" i="9" s="1"/>
  <c r="BS35" i="9"/>
  <c r="BS57" i="9" s="1"/>
  <c r="Y35" i="9"/>
  <c r="Y57" i="9" s="1"/>
  <c r="BV35" i="9"/>
  <c r="BV45" i="9" s="1"/>
  <c r="BV60" i="9" s="1"/>
  <c r="Z35" i="9"/>
  <c r="Z57" i="9" s="1"/>
  <c r="S35" i="9"/>
  <c r="S57" i="9" s="1"/>
  <c r="AK35" i="9"/>
  <c r="AK45" i="9" s="1"/>
  <c r="AK60" i="9" s="1"/>
  <c r="AT35" i="9"/>
  <c r="AT57" i="9" s="1"/>
  <c r="AF35" i="9"/>
  <c r="AF57" i="9" s="1"/>
  <c r="BC35" i="9"/>
  <c r="BC57" i="9" s="1"/>
  <c r="R35" i="9"/>
  <c r="R57" i="9" s="1"/>
  <c r="BD35" i="9"/>
  <c r="BD57" i="9" s="1"/>
  <c r="BG46" i="11"/>
  <c r="BG53" i="11" s="1"/>
  <c r="D46" i="11"/>
  <c r="D53" i="11" s="1"/>
  <c r="D55" i="11" s="1"/>
  <c r="BG43" i="1"/>
  <c r="BG118" i="1" s="1"/>
  <c r="AW43" i="1"/>
  <c r="AW118" i="1" s="1"/>
  <c r="AL43" i="1"/>
  <c r="AL118" i="1" s="1"/>
  <c r="AD43" i="1"/>
  <c r="AD118" i="1" s="1"/>
  <c r="T43" i="1"/>
  <c r="T118" i="1" s="1"/>
  <c r="AK43" i="1"/>
  <c r="AK118" i="1" s="1"/>
  <c r="BH43" i="1"/>
  <c r="BH118" i="1" s="1"/>
  <c r="BH46" i="11"/>
  <c r="BH53" i="11" s="1"/>
  <c r="BE46" i="11"/>
  <c r="BE53" i="11" s="1"/>
  <c r="X46" i="11"/>
  <c r="X53" i="11" s="1"/>
  <c r="BN46" i="11"/>
  <c r="BN53" i="11" s="1"/>
  <c r="W46" i="11"/>
  <c r="W53" i="11" s="1"/>
  <c r="W55" i="11" s="1"/>
  <c r="F27" i="19" s="1"/>
  <c r="K46" i="11"/>
  <c r="K53" i="11" s="1"/>
  <c r="AX46" i="11"/>
  <c r="AX53" i="11" s="1"/>
  <c r="AX55" i="11" s="1"/>
  <c r="F54" i="19" s="1"/>
  <c r="AI46" i="11"/>
  <c r="AI53" i="11" s="1"/>
  <c r="C45" i="16"/>
  <c r="BD46" i="11"/>
  <c r="BD53" i="11" s="1"/>
  <c r="BD55" i="11" s="1"/>
  <c r="F60" i="19" s="1"/>
  <c r="V46" i="11"/>
  <c r="V53" i="11" s="1"/>
  <c r="M46" i="11"/>
  <c r="M53" i="11" s="1"/>
  <c r="M55" i="11" s="1"/>
  <c r="F17" i="19" s="1"/>
  <c r="AN46" i="11"/>
  <c r="AN53" i="11" s="1"/>
  <c r="AL46" i="11"/>
  <c r="AL53" i="11" s="1"/>
  <c r="BQ46" i="11"/>
  <c r="BQ53" i="11" s="1"/>
  <c r="BI46" i="11"/>
  <c r="BI53" i="11" s="1"/>
  <c r="BA46" i="11"/>
  <c r="BA53" i="11" s="1"/>
  <c r="S46" i="11"/>
  <c r="S53" i="11" s="1"/>
  <c r="S55" i="11" s="1"/>
  <c r="F23" i="19" s="1"/>
  <c r="BL46" i="11"/>
  <c r="BL53" i="11" s="1"/>
  <c r="BL55" i="11" s="1"/>
  <c r="F68" i="19" s="1"/>
  <c r="BF46" i="11"/>
  <c r="BF53" i="11" s="1"/>
  <c r="Y46" i="11"/>
  <c r="Y53" i="11" s="1"/>
  <c r="BZ46" i="11"/>
  <c r="BZ53" i="11" s="1"/>
  <c r="BP46" i="11"/>
  <c r="BP53" i="11" s="1"/>
  <c r="BP55" i="11" s="1"/>
  <c r="F72" i="19" s="1"/>
  <c r="BM46" i="11"/>
  <c r="BM53" i="11" s="1"/>
  <c r="BR46" i="11"/>
  <c r="BR53" i="11" s="1"/>
  <c r="AS46" i="11"/>
  <c r="AS53" i="11" s="1"/>
  <c r="P46" i="11"/>
  <c r="P53" i="11" s="1"/>
  <c r="AP46" i="11"/>
  <c r="AP53" i="11" s="1"/>
  <c r="BS46" i="11"/>
  <c r="BS53" i="11" s="1"/>
  <c r="AB46" i="11"/>
  <c r="AB53" i="11" s="1"/>
  <c r="BT46" i="11"/>
  <c r="BT53" i="11" s="1"/>
  <c r="AU46" i="11"/>
  <c r="AU53" i="11" s="1"/>
  <c r="AR46" i="11"/>
  <c r="AR53" i="11" s="1"/>
  <c r="AR55" i="11" s="1"/>
  <c r="F48" i="19" s="1"/>
  <c r="L46" i="11"/>
  <c r="L53" i="11" s="1"/>
  <c r="Z46" i="11"/>
  <c r="Z53" i="11" s="1"/>
  <c r="Z55" i="11" s="1"/>
  <c r="F30" i="19" s="1"/>
  <c r="AA46" i="11"/>
  <c r="AA53" i="11" s="1"/>
  <c r="BK46" i="11"/>
  <c r="BK53" i="11" s="1"/>
  <c r="AV46" i="11"/>
  <c r="AV53" i="11" s="1"/>
  <c r="AK46" i="11"/>
  <c r="AK53" i="11" s="1"/>
  <c r="AK55" i="11" s="1"/>
  <c r="F41" i="19" s="1"/>
  <c r="H46" i="11"/>
  <c r="H53" i="11" s="1"/>
  <c r="N46" i="11"/>
  <c r="N53" i="11" s="1"/>
  <c r="N55" i="11" s="1"/>
  <c r="F18" i="19" s="1"/>
  <c r="BC46" i="11"/>
  <c r="BC53" i="11" s="1"/>
  <c r="J46" i="11"/>
  <c r="J53" i="11" s="1"/>
  <c r="AO46" i="11"/>
  <c r="AO53" i="11" s="1"/>
  <c r="BJ46" i="11"/>
  <c r="BJ53" i="11" s="1"/>
  <c r="AY46" i="11"/>
  <c r="AY53" i="11" s="1"/>
  <c r="AY55" i="11" s="1"/>
  <c r="F55" i="19" s="1"/>
  <c r="AC46" i="11"/>
  <c r="AC53" i="11" s="1"/>
  <c r="BU46" i="11"/>
  <c r="BU53" i="11" s="1"/>
  <c r="AE46" i="11"/>
  <c r="AE53" i="11" s="1"/>
  <c r="AE55" i="11" s="1"/>
  <c r="F35" i="19" s="1"/>
  <c r="Q46" i="11"/>
  <c r="Q53" i="11" s="1"/>
  <c r="Q55" i="11" s="1"/>
  <c r="F21" i="19" s="1"/>
  <c r="R46" i="11"/>
  <c r="R53" i="11" s="1"/>
  <c r="R55" i="11" s="1"/>
  <c r="F22" i="19" s="1"/>
  <c r="T46" i="11"/>
  <c r="T53" i="11" s="1"/>
  <c r="BO46" i="11"/>
  <c r="BO53" i="11" s="1"/>
  <c r="G46" i="11"/>
  <c r="G53" i="11" s="1"/>
  <c r="G55" i="11" s="1"/>
  <c r="F11" i="19" s="1"/>
  <c r="AD46" i="11"/>
  <c r="AD53" i="11" s="1"/>
  <c r="AW46" i="11"/>
  <c r="AW53" i="11" s="1"/>
  <c r="F46" i="11"/>
  <c r="F53" i="11" s="1"/>
  <c r="F55" i="11" s="1"/>
  <c r="F10" i="19" s="1"/>
  <c r="AJ46" i="11"/>
  <c r="AJ53" i="11" s="1"/>
  <c r="AJ55" i="11" s="1"/>
  <c r="F40" i="19" s="1"/>
  <c r="I46" i="11"/>
  <c r="I53" i="11" s="1"/>
  <c r="U46" i="11"/>
  <c r="U53" i="11" s="1"/>
  <c r="BB46" i="11"/>
  <c r="BB53" i="11" s="1"/>
  <c r="AH46" i="11"/>
  <c r="AH53" i="11" s="1"/>
  <c r="BY46" i="11"/>
  <c r="BY53" i="11" s="1"/>
  <c r="BY55" i="11" s="1"/>
  <c r="F81" i="19" s="1"/>
  <c r="AM46" i="11"/>
  <c r="AM53" i="11" s="1"/>
  <c r="AM55" i="11" s="1"/>
  <c r="F43" i="19" s="1"/>
  <c r="O46" i="11"/>
  <c r="O53" i="11" s="1"/>
  <c r="O55" i="11" s="1"/>
  <c r="F19" i="19" s="1"/>
  <c r="K43" i="1"/>
  <c r="K118" i="1" s="1"/>
  <c r="AE43" i="1"/>
  <c r="AE118" i="1" s="1"/>
  <c r="V43" i="1"/>
  <c r="V118" i="1" s="1"/>
  <c r="BQ43" i="1"/>
  <c r="BQ118" i="1" s="1"/>
  <c r="W43" i="1"/>
  <c r="W118" i="1" s="1"/>
  <c r="AF43" i="1"/>
  <c r="AF118" i="1" s="1"/>
  <c r="BL43" i="1"/>
  <c r="BL118" i="1" s="1"/>
  <c r="D119" i="13" s="1"/>
  <c r="AC43" i="1"/>
  <c r="AC118" i="1" s="1"/>
  <c r="BX43" i="1"/>
  <c r="BX118" i="1" s="1"/>
  <c r="BR43" i="1"/>
  <c r="BR118" i="1" s="1"/>
  <c r="R43" i="1"/>
  <c r="R118" i="1" s="1"/>
  <c r="BT43" i="1"/>
  <c r="BT118" i="1" s="1"/>
  <c r="AO43" i="1"/>
  <c r="AO118" i="1" s="1"/>
  <c r="AT43" i="1"/>
  <c r="AT118" i="1" s="1"/>
  <c r="U43" i="1"/>
  <c r="U118" i="1" s="1"/>
  <c r="AQ43" i="1"/>
  <c r="AQ118" i="1" s="1"/>
  <c r="AU43" i="1"/>
  <c r="AU118" i="1" s="1"/>
  <c r="AS43" i="1"/>
  <c r="AS118" i="1" s="1"/>
  <c r="AA43" i="1"/>
  <c r="AA118" i="1" s="1"/>
  <c r="X43" i="1"/>
  <c r="X118" i="1" s="1"/>
  <c r="AZ43" i="1"/>
  <c r="AZ118" i="1" s="1"/>
  <c r="AG43" i="1"/>
  <c r="AG118" i="1" s="1"/>
  <c r="AI43" i="1"/>
  <c r="AI118" i="1" s="1"/>
  <c r="E43" i="1"/>
  <c r="E118" i="1" s="1"/>
  <c r="G43" i="1"/>
  <c r="G118" i="1" s="1"/>
  <c r="O43" i="1"/>
  <c r="O118" i="1" s="1"/>
  <c r="BU43" i="1"/>
  <c r="BU118" i="1" s="1"/>
  <c r="BC43" i="1"/>
  <c r="BC118" i="1" s="1"/>
  <c r="BO43" i="1"/>
  <c r="BO118" i="1" s="1"/>
  <c r="BW43" i="1"/>
  <c r="BW118" i="1" s="1"/>
  <c r="BY43" i="1"/>
  <c r="BY118" i="1" s="1"/>
  <c r="BF43" i="1"/>
  <c r="BF118" i="1" s="1"/>
  <c r="AM43" i="1"/>
  <c r="AM118" i="1" s="1"/>
  <c r="Q43" i="1"/>
  <c r="Q118" i="1" s="1"/>
  <c r="C36" i="13"/>
  <c r="L43" i="1"/>
  <c r="L118" i="1" s="1"/>
  <c r="J43" i="1"/>
  <c r="J118" i="1" s="1"/>
  <c r="P43" i="1"/>
  <c r="P118" i="1" s="1"/>
  <c r="AR43" i="1"/>
  <c r="AR118" i="1" s="1"/>
  <c r="AN43" i="1"/>
  <c r="AN118" i="1" s="1"/>
  <c r="BD43" i="1"/>
  <c r="BD118" i="1" s="1"/>
  <c r="BA43" i="1"/>
  <c r="BA118" i="1" s="1"/>
  <c r="BH136" i="1"/>
  <c r="BH140" i="1" s="1"/>
  <c r="H43" i="1"/>
  <c r="H118" i="1" s="1"/>
  <c r="BZ43" i="1"/>
  <c r="BZ118" i="1" s="1"/>
  <c r="BM43" i="1"/>
  <c r="BM118" i="1" s="1"/>
  <c r="AH43" i="1"/>
  <c r="AH118" i="1" s="1"/>
  <c r="AX43" i="1"/>
  <c r="AX118" i="1" s="1"/>
  <c r="AV43" i="1"/>
  <c r="AV118" i="1" s="1"/>
  <c r="BS43" i="1"/>
  <c r="BS118" i="1" s="1"/>
  <c r="N43" i="1"/>
  <c r="N118" i="1" s="1"/>
  <c r="F43" i="1"/>
  <c r="F118" i="1" s="1"/>
  <c r="AY43" i="1"/>
  <c r="AY118" i="1" s="1"/>
  <c r="C43" i="1"/>
  <c r="C118" i="1" s="1"/>
  <c r="C119" i="13" s="1"/>
  <c r="Z43" i="1"/>
  <c r="Z118" i="1" s="1"/>
  <c r="AP43" i="1"/>
  <c r="AP118" i="1" s="1"/>
  <c r="BV43" i="1"/>
  <c r="BV118" i="1" s="1"/>
  <c r="I43" i="1"/>
  <c r="I118" i="1" s="1"/>
  <c r="Y43" i="1"/>
  <c r="Y118" i="1" s="1"/>
  <c r="D43" i="1"/>
  <c r="D118" i="1" s="1"/>
  <c r="S43" i="1"/>
  <c r="S118" i="1" s="1"/>
  <c r="BB43" i="1"/>
  <c r="BB118" i="1" s="1"/>
  <c r="AB43" i="1"/>
  <c r="AB118" i="1" s="1"/>
  <c r="AJ43" i="1"/>
  <c r="AJ118" i="1" s="1"/>
  <c r="BJ43" i="1"/>
  <c r="BJ118" i="1" s="1"/>
  <c r="BK43" i="1"/>
  <c r="BK118" i="1" s="1"/>
  <c r="BE43" i="1"/>
  <c r="BE118" i="1" s="1"/>
  <c r="BN43" i="1"/>
  <c r="BN118" i="1" s="1"/>
  <c r="BP43" i="1"/>
  <c r="BP118" i="1" s="1"/>
  <c r="M43" i="1"/>
  <c r="M118" i="1" s="1"/>
  <c r="AD45" i="9"/>
  <c r="AD60" i="9" s="1"/>
  <c r="AD57" i="9"/>
  <c r="AI45" i="9"/>
  <c r="AI60" i="9" s="1"/>
  <c r="V94" i="1"/>
  <c r="V132" i="1" s="1"/>
  <c r="C87" i="13"/>
  <c r="U94" i="1"/>
  <c r="U132" i="1" s="1"/>
  <c r="BP94" i="1"/>
  <c r="BP132" i="1" s="1"/>
  <c r="M94" i="1"/>
  <c r="M132" i="1" s="1"/>
  <c r="BO94" i="1"/>
  <c r="BO132" i="1" s="1"/>
  <c r="BX94" i="1"/>
  <c r="BX132" i="1" s="1"/>
  <c r="BM94" i="1"/>
  <c r="BM132" i="1" s="1"/>
  <c r="BA94" i="1"/>
  <c r="BA132" i="1" s="1"/>
  <c r="BT94" i="1"/>
  <c r="BT132" i="1" s="1"/>
  <c r="R94" i="1"/>
  <c r="R132" i="1" s="1"/>
  <c r="BS94" i="1"/>
  <c r="BS132" i="1" s="1"/>
  <c r="I94" i="1"/>
  <c r="I132" i="1" s="1"/>
  <c r="AN94" i="1"/>
  <c r="AN132" i="1" s="1"/>
  <c r="BQ94" i="1"/>
  <c r="BQ132" i="1" s="1"/>
  <c r="G94" i="1"/>
  <c r="G132" i="1" s="1"/>
  <c r="N94" i="1"/>
  <c r="N132" i="1" s="1"/>
  <c r="BG94" i="1"/>
  <c r="BG132" i="1" s="1"/>
  <c r="BV94" i="1"/>
  <c r="BV132" i="1" s="1"/>
  <c r="BL94" i="1"/>
  <c r="J94" i="1"/>
  <c r="J132" i="1" s="1"/>
  <c r="BK94" i="1"/>
  <c r="BK132" i="1" s="1"/>
  <c r="AF94" i="1"/>
  <c r="AF132" i="1" s="1"/>
  <c r="BI94" i="1"/>
  <c r="BI132" i="1" s="1"/>
  <c r="BB94" i="1"/>
  <c r="BB132" i="1" s="1"/>
  <c r="AY94" i="1"/>
  <c r="AY132" i="1" s="1"/>
  <c r="AZ94" i="1"/>
  <c r="AZ132" i="1" s="1"/>
  <c r="AT94" i="1"/>
  <c r="AT132" i="1" s="1"/>
  <c r="BE94" i="1"/>
  <c r="BE132" i="1" s="1"/>
  <c r="AD94" i="1"/>
  <c r="AD132" i="1" s="1"/>
  <c r="X94" i="1"/>
  <c r="X132" i="1" s="1"/>
  <c r="BC94" i="1"/>
  <c r="BC132" i="1" s="1"/>
  <c r="AR94" i="1"/>
  <c r="AR132" i="1" s="1"/>
  <c r="AQ94" i="1"/>
  <c r="AQ132" i="1" s="1"/>
  <c r="AB94" i="1"/>
  <c r="AB132" i="1" s="1"/>
  <c r="BF94" i="1"/>
  <c r="BF132" i="1" s="1"/>
  <c r="BN94" i="1"/>
  <c r="BN132" i="1" s="1"/>
  <c r="AW94" i="1"/>
  <c r="AW132" i="1" s="1"/>
  <c r="BZ94" i="1"/>
  <c r="BZ132" i="1" s="1"/>
  <c r="P94" i="1"/>
  <c r="P132" i="1" s="1"/>
  <c r="AU94" i="1"/>
  <c r="AU132" i="1" s="1"/>
  <c r="T94" i="1"/>
  <c r="T132" i="1" s="1"/>
  <c r="AI94" i="1"/>
  <c r="AI132" i="1" s="1"/>
  <c r="D94" i="1"/>
  <c r="D132" i="1" s="1"/>
  <c r="AX94" i="1"/>
  <c r="AX132" i="1" s="1"/>
  <c r="AJ94" i="1"/>
  <c r="AJ132" i="1" s="1"/>
  <c r="AO94" i="1"/>
  <c r="AO132" i="1" s="1"/>
  <c r="BR94" i="1"/>
  <c r="BR132" i="1" s="1"/>
  <c r="H94" i="1"/>
  <c r="H132" i="1" s="1"/>
  <c r="AM94" i="1"/>
  <c r="AM132" i="1" s="1"/>
  <c r="BW94" i="1"/>
  <c r="BW132" i="1" s="1"/>
  <c r="AA94" i="1"/>
  <c r="AA132" i="1" s="1"/>
  <c r="AP94" i="1"/>
  <c r="AP132" i="1" s="1"/>
  <c r="L94" i="1"/>
  <c r="L132" i="1" s="1"/>
  <c r="AG94" i="1"/>
  <c r="AG132" i="1" s="1"/>
  <c r="BJ94" i="1"/>
  <c r="BJ132" i="1" s="1"/>
  <c r="AE94" i="1"/>
  <c r="AE132" i="1" s="1"/>
  <c r="BU94" i="1"/>
  <c r="BU132" i="1" s="1"/>
  <c r="K94" i="1"/>
  <c r="K132" i="1" s="1"/>
  <c r="F94" i="1"/>
  <c r="F132" i="1" s="1"/>
  <c r="Z94" i="1"/>
  <c r="Z132" i="1" s="1"/>
  <c r="E94" i="1"/>
  <c r="E132" i="1" s="1"/>
  <c r="Q94" i="1"/>
  <c r="Q132" i="1" s="1"/>
  <c r="AV94" i="1"/>
  <c r="AV132" i="1" s="1"/>
  <c r="BY94" i="1"/>
  <c r="BY132" i="1" s="1"/>
  <c r="O94" i="1"/>
  <c r="O132" i="1" s="1"/>
  <c r="AS94" i="1"/>
  <c r="AS132" i="1" s="1"/>
  <c r="S94" i="1"/>
  <c r="S132" i="1" s="1"/>
  <c r="AL94" i="1"/>
  <c r="AL132" i="1" s="1"/>
  <c r="AH94" i="1"/>
  <c r="AH132" i="1" s="1"/>
  <c r="AK94" i="1"/>
  <c r="AK132" i="1" s="1"/>
  <c r="Y94" i="1"/>
  <c r="Y132" i="1" s="1"/>
  <c r="BD94" i="1"/>
  <c r="BD132" i="1" s="1"/>
  <c r="AC94" i="1"/>
  <c r="AC132" i="1" s="1"/>
  <c r="W94" i="1"/>
  <c r="W132" i="1" s="1"/>
  <c r="C94" i="1"/>
  <c r="O72" i="1"/>
  <c r="O129" i="1" s="1"/>
  <c r="T72" i="1"/>
  <c r="T129" i="1" s="1"/>
  <c r="X72" i="1"/>
  <c r="X129" i="1" s="1"/>
  <c r="AC72" i="1"/>
  <c r="AC129" i="1" s="1"/>
  <c r="AI72" i="1"/>
  <c r="AI129" i="1" s="1"/>
  <c r="AS72" i="1"/>
  <c r="AS129" i="1" s="1"/>
  <c r="AZ72" i="1"/>
  <c r="AZ129" i="1" s="1"/>
  <c r="BG72" i="1"/>
  <c r="BG129" i="1" s="1"/>
  <c r="BS72" i="1"/>
  <c r="BS129" i="1" s="1"/>
  <c r="BX72" i="1"/>
  <c r="BX129" i="1" s="1"/>
  <c r="E72" i="1"/>
  <c r="E129" i="1" s="1"/>
  <c r="AB72" i="1"/>
  <c r="AB129" i="1" s="1"/>
  <c r="AH72" i="1"/>
  <c r="AH129" i="1" s="1"/>
  <c r="AM72" i="1"/>
  <c r="AM129" i="1" s="1"/>
  <c r="AR72" i="1"/>
  <c r="AR129" i="1" s="1"/>
  <c r="AY72" i="1"/>
  <c r="AY129" i="1" s="1"/>
  <c r="BI72" i="1"/>
  <c r="BI129" i="1" s="1"/>
  <c r="BO72" i="1"/>
  <c r="BO129" i="1" s="1"/>
  <c r="C65" i="13"/>
  <c r="D72" i="1"/>
  <c r="D129" i="1" s="1"/>
  <c r="I72" i="1"/>
  <c r="I129" i="1" s="1"/>
  <c r="BB72" i="1"/>
  <c r="BB129" i="1" s="1"/>
  <c r="H72" i="1"/>
  <c r="H129" i="1" s="1"/>
  <c r="M72" i="1"/>
  <c r="M129" i="1" s="1"/>
  <c r="AQ72" i="1"/>
  <c r="AQ129" i="1" s="1"/>
  <c r="AX72" i="1"/>
  <c r="AX129" i="1" s="1"/>
  <c r="BF72" i="1"/>
  <c r="BF129" i="1" s="1"/>
  <c r="BN72" i="1"/>
  <c r="BN129" i="1" s="1"/>
  <c r="BR72" i="1"/>
  <c r="BR129" i="1" s="1"/>
  <c r="BW72" i="1"/>
  <c r="BW129" i="1" s="1"/>
  <c r="L72" i="1"/>
  <c r="L129" i="1" s="1"/>
  <c r="Q72" i="1"/>
  <c r="Q129" i="1" s="1"/>
  <c r="AG72" i="1"/>
  <c r="AG129" i="1" s="1"/>
  <c r="AL72" i="1"/>
  <c r="AL129" i="1" s="1"/>
  <c r="AP72" i="1"/>
  <c r="AP129" i="1" s="1"/>
  <c r="AW72" i="1"/>
  <c r="AW129" i="1" s="1"/>
  <c r="BE72" i="1"/>
  <c r="BE129" i="1" s="1"/>
  <c r="BV72" i="1"/>
  <c r="BV129" i="1" s="1"/>
  <c r="U72" i="1"/>
  <c r="U129" i="1" s="1"/>
  <c r="AN72" i="1"/>
  <c r="AN129" i="1" s="1"/>
  <c r="AT72" i="1"/>
  <c r="AT129" i="1" s="1"/>
  <c r="BC72" i="1"/>
  <c r="BC129" i="1" s="1"/>
  <c r="BK72" i="1"/>
  <c r="BK129" i="1" s="1"/>
  <c r="BL72" i="1"/>
  <c r="BM72" i="1"/>
  <c r="BM129" i="1" s="1"/>
  <c r="BQ72" i="1"/>
  <c r="BQ129" i="1" s="1"/>
  <c r="AU72" i="1"/>
  <c r="AU129" i="1" s="1"/>
  <c r="BA72" i="1"/>
  <c r="BA129" i="1" s="1"/>
  <c r="BJ72" i="1"/>
  <c r="BJ129" i="1" s="1"/>
  <c r="G72" i="1"/>
  <c r="G129" i="1" s="1"/>
  <c r="K72" i="1"/>
  <c r="K129" i="1" s="1"/>
  <c r="Y72" i="1"/>
  <c r="Y129" i="1" s="1"/>
  <c r="AO72" i="1"/>
  <c r="AO129" i="1" s="1"/>
  <c r="AV72" i="1"/>
  <c r="AV129" i="1" s="1"/>
  <c r="BU72" i="1"/>
  <c r="BU129" i="1" s="1"/>
  <c r="BZ72" i="1"/>
  <c r="BZ129" i="1" s="1"/>
  <c r="AJ72" i="1"/>
  <c r="AJ129" i="1" s="1"/>
  <c r="F72" i="1"/>
  <c r="F129" i="1" s="1"/>
  <c r="J72" i="1"/>
  <c r="J129" i="1" s="1"/>
  <c r="P72" i="1"/>
  <c r="P129" i="1" s="1"/>
  <c r="AD72" i="1"/>
  <c r="AD129" i="1" s="1"/>
  <c r="AE72" i="1"/>
  <c r="AE129" i="1" s="1"/>
  <c r="AF72" i="1"/>
  <c r="AF129" i="1" s="1"/>
  <c r="AK72" i="1"/>
  <c r="AK129" i="1" s="1"/>
  <c r="BD72" i="1"/>
  <c r="BD129" i="1" s="1"/>
  <c r="BP72" i="1"/>
  <c r="BP129" i="1" s="1"/>
  <c r="BT72" i="1"/>
  <c r="BT129" i="1" s="1"/>
  <c r="BY72" i="1"/>
  <c r="BY129" i="1" s="1"/>
  <c r="R72" i="1"/>
  <c r="R129" i="1" s="1"/>
  <c r="S72" i="1"/>
  <c r="S129" i="1" s="1"/>
  <c r="V72" i="1"/>
  <c r="V129" i="1" s="1"/>
  <c r="Z72" i="1"/>
  <c r="Z129" i="1" s="1"/>
  <c r="N72" i="1"/>
  <c r="N129" i="1" s="1"/>
  <c r="W72" i="1"/>
  <c r="W129" i="1" s="1"/>
  <c r="AA72" i="1"/>
  <c r="AA129" i="1" s="1"/>
  <c r="D44" i="13"/>
  <c r="C13" i="1"/>
  <c r="C20" i="13"/>
  <c r="T55" i="11"/>
  <c r="F24" i="19" s="1"/>
  <c r="BU70" i="10"/>
  <c r="R70" i="10"/>
  <c r="AD70" i="10"/>
  <c r="BR70" i="10"/>
  <c r="AC70" i="10"/>
  <c r="BW70" i="10"/>
  <c r="AT70" i="10"/>
  <c r="AV70" i="10"/>
  <c r="F70" i="10"/>
  <c r="BG70" i="10"/>
  <c r="AL70" i="10"/>
  <c r="E70" i="10"/>
  <c r="AI70" i="10"/>
  <c r="BD70" i="10"/>
  <c r="BX55" i="11"/>
  <c r="F80" i="19" s="1"/>
  <c r="D58" i="10"/>
  <c r="BZ70" i="10"/>
  <c r="AO70" i="10"/>
  <c r="AQ70" i="10"/>
  <c r="I70" i="10"/>
  <c r="AS70" i="10"/>
  <c r="BB70" i="10"/>
  <c r="D25" i="16"/>
  <c r="BV55" i="11"/>
  <c r="F78" i="19" s="1"/>
  <c r="AM70" i="10"/>
  <c r="AP70" i="10"/>
  <c r="AK70" i="10"/>
  <c r="BF70" i="10"/>
  <c r="BC70" i="10"/>
  <c r="BI70" i="10"/>
  <c r="BO70" i="10"/>
  <c r="AB70" i="10"/>
  <c r="D36" i="16"/>
  <c r="S70" i="10"/>
  <c r="BA70" i="10"/>
  <c r="BP70" i="10"/>
  <c r="P70" i="10"/>
  <c r="U70" i="10"/>
  <c r="BQ70" i="10"/>
  <c r="AA70" i="10"/>
  <c r="AC55" i="11" l="1"/>
  <c r="F33" i="19" s="1"/>
  <c r="AC136" i="1"/>
  <c r="AC140" i="1" s="1"/>
  <c r="BK45" i="9"/>
  <c r="BK60" i="9" s="1"/>
  <c r="BC55" i="11"/>
  <c r="F59" i="19" s="1"/>
  <c r="BO55" i="11"/>
  <c r="F71" i="19" s="1"/>
  <c r="BQ55" i="11"/>
  <c r="F73" i="19" s="1"/>
  <c r="Y55" i="11"/>
  <c r="F29" i="19" s="1"/>
  <c r="AO55" i="11"/>
  <c r="F45" i="19" s="1"/>
  <c r="AB136" i="1"/>
  <c r="AB140" i="1" s="1"/>
  <c r="AI55" i="11"/>
  <c r="F39" i="19" s="1"/>
  <c r="C129" i="1"/>
  <c r="C130" i="13" s="1"/>
  <c r="BR55" i="11"/>
  <c r="F74" i="19" s="1"/>
  <c r="AN55" i="11"/>
  <c r="F44" i="19" s="1"/>
  <c r="AU55" i="11"/>
  <c r="F51" i="19" s="1"/>
  <c r="T45" i="9"/>
  <c r="T60" i="9" s="1"/>
  <c r="AZ57" i="9"/>
  <c r="AX45" i="9"/>
  <c r="AX60" i="9" s="1"/>
  <c r="AJ45" i="9"/>
  <c r="AJ60" i="9" s="1"/>
  <c r="BF45" i="9"/>
  <c r="BF60" i="9" s="1"/>
  <c r="J45" i="9"/>
  <c r="J60" i="9" s="1"/>
  <c r="AV57" i="9"/>
  <c r="D58" i="17" s="1"/>
  <c r="Q45" i="9"/>
  <c r="Q60" i="9" s="1"/>
  <c r="W45" i="9"/>
  <c r="W60" i="9" s="1"/>
  <c r="H55" i="11"/>
  <c r="F12" i="19" s="1"/>
  <c r="AH55" i="11"/>
  <c r="F38" i="19" s="1"/>
  <c r="BK55" i="11"/>
  <c r="F67" i="19" s="1"/>
  <c r="I55" i="11"/>
  <c r="F13" i="19" s="1"/>
  <c r="AA55" i="11"/>
  <c r="F31" i="19" s="1"/>
  <c r="BN55" i="11"/>
  <c r="F70" i="19" s="1"/>
  <c r="BB55" i="11"/>
  <c r="F58" i="19" s="1"/>
  <c r="J55" i="11"/>
  <c r="F14" i="19" s="1"/>
  <c r="L55" i="11"/>
  <c r="F16" i="19" s="1"/>
  <c r="AS55" i="11"/>
  <c r="F49" i="19" s="1"/>
  <c r="U55" i="11"/>
  <c r="F25" i="19" s="1"/>
  <c r="BA55" i="11"/>
  <c r="F57" i="19" s="1"/>
  <c r="AD55" i="11"/>
  <c r="F34" i="19" s="1"/>
  <c r="BE55" i="11"/>
  <c r="F61" i="19" s="1"/>
  <c r="C24" i="11"/>
  <c r="C25" i="16" s="1"/>
  <c r="AW55" i="11"/>
  <c r="F53" i="19" s="1"/>
  <c r="BU55" i="11"/>
  <c r="F77" i="19" s="1"/>
  <c r="BM55" i="11"/>
  <c r="F69" i="19" s="1"/>
  <c r="AP45" i="9"/>
  <c r="AP60" i="9" s="1"/>
  <c r="BB45" i="9"/>
  <c r="BB60" i="9" s="1"/>
  <c r="BY45" i="9"/>
  <c r="BY60" i="9" s="1"/>
  <c r="P45" i="9"/>
  <c r="P60" i="9" s="1"/>
  <c r="AQ45" i="9"/>
  <c r="AQ60" i="9" s="1"/>
  <c r="AP55" i="11"/>
  <c r="F46" i="19" s="1"/>
  <c r="BI55" i="11"/>
  <c r="F65" i="19" s="1"/>
  <c r="AV55" i="11"/>
  <c r="F52" i="19" s="1"/>
  <c r="BZ55" i="11"/>
  <c r="F82" i="19" s="1"/>
  <c r="K55" i="11"/>
  <c r="F15" i="19" s="1"/>
  <c r="BS55" i="11"/>
  <c r="F75" i="19" s="1"/>
  <c r="BF55" i="11"/>
  <c r="F62" i="19" s="1"/>
  <c r="P55" i="11"/>
  <c r="F20" i="19" s="1"/>
  <c r="BH55" i="11"/>
  <c r="F64" i="19" s="1"/>
  <c r="BG55" i="11"/>
  <c r="F63" i="19" s="1"/>
  <c r="BT55" i="11"/>
  <c r="F76" i="19" s="1"/>
  <c r="AG55" i="11"/>
  <c r="F37" i="19" s="1"/>
  <c r="AB55" i="11"/>
  <c r="F32" i="19" s="1"/>
  <c r="AL55" i="11"/>
  <c r="F42" i="19" s="1"/>
  <c r="BJ55" i="11"/>
  <c r="F66" i="19" s="1"/>
  <c r="C35" i="11"/>
  <c r="C36" i="16" s="1"/>
  <c r="V55" i="11"/>
  <c r="F26" i="19" s="1"/>
  <c r="X55" i="11"/>
  <c r="F28" i="19" s="1"/>
  <c r="AN45" i="9"/>
  <c r="AN60" i="9" s="1"/>
  <c r="AW45" i="9"/>
  <c r="AW60" i="9" s="1"/>
  <c r="AY57" i="9"/>
  <c r="BR45" i="9"/>
  <c r="BR60" i="9" s="1"/>
  <c r="AF45" i="9"/>
  <c r="AF60" i="9" s="1"/>
  <c r="BE45" i="9"/>
  <c r="BE60" i="9" s="1"/>
  <c r="U45" i="9"/>
  <c r="U60" i="9" s="1"/>
  <c r="D45" i="9"/>
  <c r="D60" i="9" s="1"/>
  <c r="H45" i="9"/>
  <c r="H60" i="9" s="1"/>
  <c r="AK57" i="9"/>
  <c r="C58" i="9"/>
  <c r="C59" i="17" s="1"/>
  <c r="AA45" i="9"/>
  <c r="AA60" i="9" s="1"/>
  <c r="L45" i="9"/>
  <c r="L60" i="9" s="1"/>
  <c r="AB45" i="9"/>
  <c r="AB60" i="9" s="1"/>
  <c r="BM45" i="9"/>
  <c r="BM60" i="9" s="1"/>
  <c r="BA45" i="9"/>
  <c r="BA60" i="9" s="1"/>
  <c r="AC45" i="9"/>
  <c r="AC60" i="9" s="1"/>
  <c r="BO45" i="9"/>
  <c r="BO60" i="9" s="1"/>
  <c r="AL57" i="9"/>
  <c r="N45" i="9"/>
  <c r="N60" i="9" s="1"/>
  <c r="AE45" i="9"/>
  <c r="AE60" i="9" s="1"/>
  <c r="G45" i="9"/>
  <c r="G60" i="9" s="1"/>
  <c r="BZ45" i="9"/>
  <c r="BZ60" i="9" s="1"/>
  <c r="BU45" i="9"/>
  <c r="BU60" i="9" s="1"/>
  <c r="BH21" i="1"/>
  <c r="BH115" i="1" s="1"/>
  <c r="BH122" i="1" s="1"/>
  <c r="BH126" i="1" s="1"/>
  <c r="BH143" i="1" s="1"/>
  <c r="D47" i="16"/>
  <c r="AM45" i="9"/>
  <c r="AM60" i="9" s="1"/>
  <c r="BG45" i="9"/>
  <c r="BG60" i="9" s="1"/>
  <c r="BI45" i="9"/>
  <c r="BI60" i="9" s="1"/>
  <c r="BH45" i="9"/>
  <c r="BH60" i="9" s="1"/>
  <c r="E45" i="9"/>
  <c r="E60" i="9" s="1"/>
  <c r="AV60" i="9"/>
  <c r="D61" i="17" s="1"/>
  <c r="D46" i="17"/>
  <c r="BP45" i="9"/>
  <c r="BP60" i="9" s="1"/>
  <c r="BN45" i="9"/>
  <c r="BN60" i="9" s="1"/>
  <c r="BC45" i="9"/>
  <c r="BC60" i="9" s="1"/>
  <c r="AT45" i="9"/>
  <c r="AT60" i="9" s="1"/>
  <c r="BD45" i="9"/>
  <c r="BD60" i="9" s="1"/>
  <c r="BL45" i="9"/>
  <c r="BL60" i="9" s="1"/>
  <c r="F45" i="9"/>
  <c r="F60" i="9" s="1"/>
  <c r="AH45" i="9"/>
  <c r="AH60" i="9" s="1"/>
  <c r="AU45" i="9"/>
  <c r="AU60" i="9" s="1"/>
  <c r="I45" i="9"/>
  <c r="I60" i="9" s="1"/>
  <c r="BL57" i="9"/>
  <c r="BV57" i="9"/>
  <c r="AR45" i="9"/>
  <c r="AR60" i="9" s="1"/>
  <c r="V45" i="9"/>
  <c r="V60" i="9" s="1"/>
  <c r="BQ45" i="9"/>
  <c r="BQ60" i="9" s="1"/>
  <c r="AG45" i="9"/>
  <c r="AG60" i="9" s="1"/>
  <c r="M45" i="9"/>
  <c r="M60" i="9" s="1"/>
  <c r="S45" i="9"/>
  <c r="S60" i="9" s="1"/>
  <c r="BT45" i="9"/>
  <c r="BT60" i="9" s="1"/>
  <c r="K45" i="9"/>
  <c r="K60" i="9" s="1"/>
  <c r="AO57" i="9"/>
  <c r="O45" i="9"/>
  <c r="O60" i="9" s="1"/>
  <c r="Y45" i="9"/>
  <c r="Y60" i="9" s="1"/>
  <c r="BJ45" i="9"/>
  <c r="BJ60" i="9" s="1"/>
  <c r="BX45" i="9"/>
  <c r="BX60" i="9" s="1"/>
  <c r="R45" i="9"/>
  <c r="R60" i="9" s="1"/>
  <c r="BW45" i="9"/>
  <c r="BW60" i="9" s="1"/>
  <c r="X45" i="9"/>
  <c r="X60" i="9" s="1"/>
  <c r="Z45" i="9"/>
  <c r="Z60" i="9" s="1"/>
  <c r="AS57" i="9"/>
  <c r="BS45" i="9"/>
  <c r="BS60" i="9" s="1"/>
  <c r="C46" i="11"/>
  <c r="C47" i="16" s="1"/>
  <c r="AD136" i="1"/>
  <c r="AD140" i="1" s="1"/>
  <c r="W136" i="1"/>
  <c r="W140" i="1" s="1"/>
  <c r="BD136" i="1"/>
  <c r="BD140" i="1" s="1"/>
  <c r="L136" i="1"/>
  <c r="L140" i="1" s="1"/>
  <c r="AQ136" i="1"/>
  <c r="AQ140" i="1" s="1"/>
  <c r="BS136" i="1"/>
  <c r="BS140" i="1" s="1"/>
  <c r="AE136" i="1"/>
  <c r="AE140" i="1" s="1"/>
  <c r="AY136" i="1"/>
  <c r="AY140" i="1" s="1"/>
  <c r="BQ136" i="1"/>
  <c r="BQ140" i="1" s="1"/>
  <c r="BW136" i="1"/>
  <c r="BW140" i="1" s="1"/>
  <c r="AZ136" i="1"/>
  <c r="AZ140" i="1" s="1"/>
  <c r="J136" i="1"/>
  <c r="J140" i="1" s="1"/>
  <c r="I136" i="1"/>
  <c r="I140" i="1" s="1"/>
  <c r="AI136" i="1"/>
  <c r="AI140" i="1" s="1"/>
  <c r="R136" i="1"/>
  <c r="R140" i="1" s="1"/>
  <c r="AU136" i="1"/>
  <c r="AU140" i="1" s="1"/>
  <c r="U136" i="1"/>
  <c r="U140" i="1" s="1"/>
  <c r="AV136" i="1"/>
  <c r="AV140" i="1" s="1"/>
  <c r="BV136" i="1"/>
  <c r="BV140" i="1" s="1"/>
  <c r="H136" i="1"/>
  <c r="H140" i="1" s="1"/>
  <c r="AR136" i="1"/>
  <c r="AR140" i="1" s="1"/>
  <c r="AA136" i="1"/>
  <c r="AA140" i="1" s="1"/>
  <c r="AS136" i="1"/>
  <c r="AS140" i="1" s="1"/>
  <c r="BC136" i="1"/>
  <c r="BC140" i="1" s="1"/>
  <c r="AK136" i="1"/>
  <c r="AK140" i="1" s="1"/>
  <c r="BJ136" i="1"/>
  <c r="BJ140" i="1" s="1"/>
  <c r="T136" i="1"/>
  <c r="T140" i="1" s="1"/>
  <c r="BY136" i="1"/>
  <c r="BY140" i="1" s="1"/>
  <c r="BT136" i="1"/>
  <c r="BT140" i="1" s="1"/>
  <c r="P136" i="1"/>
  <c r="P140" i="1" s="1"/>
  <c r="BB136" i="1"/>
  <c r="BB140" i="1" s="1"/>
  <c r="AM136" i="1"/>
  <c r="AM140" i="1" s="1"/>
  <c r="BP136" i="1"/>
  <c r="BP140" i="1" s="1"/>
  <c r="BR136" i="1"/>
  <c r="BR140" i="1" s="1"/>
  <c r="BK136" i="1"/>
  <c r="BK140" i="1" s="1"/>
  <c r="BF136" i="1"/>
  <c r="BF140" i="1" s="1"/>
  <c r="AT136" i="1"/>
  <c r="AT140" i="1" s="1"/>
  <c r="BO136" i="1"/>
  <c r="BO140" i="1" s="1"/>
  <c r="BU136" i="1"/>
  <c r="BU140" i="1" s="1"/>
  <c r="AN136" i="1"/>
  <c r="AN140" i="1" s="1"/>
  <c r="O136" i="1"/>
  <c r="O140" i="1" s="1"/>
  <c r="Q136" i="1"/>
  <c r="Q140" i="1" s="1"/>
  <c r="M136" i="1"/>
  <c r="M140" i="1" s="1"/>
  <c r="BG136" i="1"/>
  <c r="BG140" i="1" s="1"/>
  <c r="C44" i="13"/>
  <c r="K136" i="1"/>
  <c r="K140" i="1" s="1"/>
  <c r="D136" i="1"/>
  <c r="D140" i="1" s="1"/>
  <c r="Y136" i="1"/>
  <c r="Y140" i="1" s="1"/>
  <c r="BE136" i="1"/>
  <c r="BE140" i="1" s="1"/>
  <c r="AH136" i="1"/>
  <c r="AH140" i="1" s="1"/>
  <c r="N136" i="1"/>
  <c r="N140" i="1" s="1"/>
  <c r="F136" i="1"/>
  <c r="F140" i="1" s="1"/>
  <c r="AW136" i="1"/>
  <c r="AW140" i="1" s="1"/>
  <c r="BN136" i="1"/>
  <c r="BN140" i="1" s="1"/>
  <c r="AO136" i="1"/>
  <c r="AO140" i="1" s="1"/>
  <c r="BM136" i="1"/>
  <c r="BM140" i="1" s="1"/>
  <c r="Z136" i="1"/>
  <c r="Z140" i="1" s="1"/>
  <c r="AJ136" i="1"/>
  <c r="AJ140" i="1" s="1"/>
  <c r="G136" i="1"/>
  <c r="G140" i="1" s="1"/>
  <c r="AP136" i="1"/>
  <c r="AP140" i="1" s="1"/>
  <c r="E136" i="1"/>
  <c r="E140" i="1" s="1"/>
  <c r="X136" i="1"/>
  <c r="X140" i="1" s="1"/>
  <c r="V136" i="1"/>
  <c r="V140" i="1" s="1"/>
  <c r="BZ136" i="1"/>
  <c r="BZ140" i="1" s="1"/>
  <c r="AL136" i="1"/>
  <c r="AL140" i="1" s="1"/>
  <c r="AX136" i="1"/>
  <c r="AX140" i="1" s="1"/>
  <c r="BX136" i="1"/>
  <c r="BX140" i="1" s="1"/>
  <c r="S136" i="1"/>
  <c r="S140" i="1" s="1"/>
  <c r="AF136" i="1"/>
  <c r="AF140" i="1" s="1"/>
  <c r="BA136" i="1"/>
  <c r="BA140" i="1" s="1"/>
  <c r="AG136" i="1"/>
  <c r="AG140" i="1" s="1"/>
  <c r="BI136" i="1"/>
  <c r="BI140" i="1" s="1"/>
  <c r="C132" i="1"/>
  <c r="C133" i="13" s="1"/>
  <c r="C95" i="13"/>
  <c r="BL132" i="1"/>
  <c r="D133" i="13" s="1"/>
  <c r="D95" i="13"/>
  <c r="D73" i="13"/>
  <c r="BL129" i="1"/>
  <c r="F21" i="1"/>
  <c r="F115" i="1" s="1"/>
  <c r="F122" i="1" s="1"/>
  <c r="F126" i="1" s="1"/>
  <c r="N21" i="1"/>
  <c r="N115" i="1" s="1"/>
  <c r="N122" i="1" s="1"/>
  <c r="N126" i="1" s="1"/>
  <c r="V21" i="1"/>
  <c r="V115" i="1" s="1"/>
  <c r="V122" i="1" s="1"/>
  <c r="V126" i="1" s="1"/>
  <c r="AD21" i="1"/>
  <c r="AD115" i="1" s="1"/>
  <c r="AD122" i="1" s="1"/>
  <c r="AD126" i="1" s="1"/>
  <c r="AL21" i="1"/>
  <c r="AL115" i="1" s="1"/>
  <c r="AL122" i="1" s="1"/>
  <c r="AL126" i="1" s="1"/>
  <c r="AT21" i="1"/>
  <c r="AT115" i="1" s="1"/>
  <c r="AT122" i="1" s="1"/>
  <c r="AT126" i="1" s="1"/>
  <c r="BB21" i="1"/>
  <c r="BB115" i="1" s="1"/>
  <c r="BB122" i="1" s="1"/>
  <c r="BB126" i="1" s="1"/>
  <c r="BO21" i="1"/>
  <c r="BO115" i="1" s="1"/>
  <c r="BO122" i="1" s="1"/>
  <c r="BO126" i="1" s="1"/>
  <c r="G21" i="1"/>
  <c r="G115" i="1" s="1"/>
  <c r="G122" i="1" s="1"/>
  <c r="G126" i="1" s="1"/>
  <c r="W21" i="1"/>
  <c r="W115" i="1" s="1"/>
  <c r="W122" i="1" s="1"/>
  <c r="W126" i="1" s="1"/>
  <c r="BK21" i="1"/>
  <c r="BK115" i="1" s="1"/>
  <c r="BK122" i="1" s="1"/>
  <c r="BK126" i="1" s="1"/>
  <c r="BP21" i="1"/>
  <c r="BP115" i="1" s="1"/>
  <c r="BP122" i="1" s="1"/>
  <c r="BP126" i="1" s="1"/>
  <c r="BP143" i="1" s="1"/>
  <c r="R21" i="1"/>
  <c r="R115" i="1" s="1"/>
  <c r="R122" i="1" s="1"/>
  <c r="R126" i="1" s="1"/>
  <c r="AG21" i="1"/>
  <c r="AG115" i="1" s="1"/>
  <c r="AG122" i="1" s="1"/>
  <c r="AG126" i="1" s="1"/>
  <c r="AW21" i="1"/>
  <c r="AW115" i="1" s="1"/>
  <c r="AW122" i="1" s="1"/>
  <c r="AW126" i="1" s="1"/>
  <c r="K21" i="1"/>
  <c r="K115" i="1" s="1"/>
  <c r="K122" i="1" s="1"/>
  <c r="K126" i="1" s="1"/>
  <c r="AA21" i="1"/>
  <c r="AA115" i="1" s="1"/>
  <c r="AA122" i="1" s="1"/>
  <c r="AA126" i="1" s="1"/>
  <c r="AQ21" i="1"/>
  <c r="AQ115" i="1" s="1"/>
  <c r="AQ122" i="1" s="1"/>
  <c r="AQ126" i="1" s="1"/>
  <c r="BG21" i="1"/>
  <c r="BG115" i="1" s="1"/>
  <c r="BG122" i="1" s="1"/>
  <c r="BG126" i="1" s="1"/>
  <c r="BW21" i="1"/>
  <c r="BW115" i="1" s="1"/>
  <c r="BW122" i="1" s="1"/>
  <c r="BW126" i="1" s="1"/>
  <c r="AI21" i="1"/>
  <c r="AI115" i="1" s="1"/>
  <c r="AI122" i="1" s="1"/>
  <c r="AI126" i="1" s="1"/>
  <c r="AY21" i="1"/>
  <c r="AY115" i="1" s="1"/>
  <c r="AY122" i="1" s="1"/>
  <c r="AY126" i="1" s="1"/>
  <c r="I21" i="1"/>
  <c r="I115" i="1" s="1"/>
  <c r="I122" i="1" s="1"/>
  <c r="I126" i="1" s="1"/>
  <c r="J21" i="1"/>
  <c r="J115" i="1" s="1"/>
  <c r="J122" i="1" s="1"/>
  <c r="J126" i="1" s="1"/>
  <c r="Y21" i="1"/>
  <c r="Y115" i="1" s="1"/>
  <c r="Y122" i="1" s="1"/>
  <c r="Y126" i="1" s="1"/>
  <c r="Z21" i="1"/>
  <c r="Z115" i="1" s="1"/>
  <c r="Z122" i="1" s="1"/>
  <c r="Z126" i="1" s="1"/>
  <c r="AO21" i="1"/>
  <c r="AO115" i="1" s="1"/>
  <c r="AO122" i="1" s="1"/>
  <c r="AO126" i="1" s="1"/>
  <c r="AP21" i="1"/>
  <c r="AP115" i="1" s="1"/>
  <c r="AP122" i="1" s="1"/>
  <c r="AP126" i="1" s="1"/>
  <c r="BE21" i="1"/>
  <c r="BE115" i="1" s="1"/>
  <c r="BE122" i="1" s="1"/>
  <c r="BE126" i="1" s="1"/>
  <c r="BF21" i="1"/>
  <c r="BF115" i="1" s="1"/>
  <c r="BF122" i="1" s="1"/>
  <c r="BF126" i="1" s="1"/>
  <c r="BT21" i="1"/>
  <c r="BT115" i="1" s="1"/>
  <c r="BT122" i="1" s="1"/>
  <c r="BT126" i="1" s="1"/>
  <c r="BX21" i="1"/>
  <c r="BX115" i="1" s="1"/>
  <c r="BX122" i="1" s="1"/>
  <c r="BX126" i="1" s="1"/>
  <c r="O21" i="1"/>
  <c r="O115" i="1" s="1"/>
  <c r="O122" i="1" s="1"/>
  <c r="O126" i="1" s="1"/>
  <c r="AE21" i="1"/>
  <c r="AE115" i="1" s="1"/>
  <c r="AE122" i="1" s="1"/>
  <c r="AE126" i="1" s="1"/>
  <c r="AE143" i="1" s="1"/>
  <c r="AU21" i="1"/>
  <c r="AU115" i="1" s="1"/>
  <c r="AU122" i="1" s="1"/>
  <c r="AU126" i="1" s="1"/>
  <c r="AU143" i="1" s="1"/>
  <c r="BI21" i="1"/>
  <c r="BI115" i="1" s="1"/>
  <c r="BI122" i="1" s="1"/>
  <c r="BI126" i="1" s="1"/>
  <c r="BS21" i="1"/>
  <c r="BS115" i="1" s="1"/>
  <c r="BS122" i="1" s="1"/>
  <c r="BS126" i="1" s="1"/>
  <c r="BS143" i="1" s="1"/>
  <c r="BY21" i="1"/>
  <c r="BY115" i="1" s="1"/>
  <c r="BY122" i="1" s="1"/>
  <c r="BY126" i="1" s="1"/>
  <c r="C14" i="13"/>
  <c r="S21" i="1"/>
  <c r="S115" i="1" s="1"/>
  <c r="S122" i="1" s="1"/>
  <c r="S126" i="1" s="1"/>
  <c r="BZ21" i="1"/>
  <c r="BZ115" i="1" s="1"/>
  <c r="BZ122" i="1" s="1"/>
  <c r="BZ126" i="1" s="1"/>
  <c r="Q21" i="1"/>
  <c r="Q115" i="1" s="1"/>
  <c r="Q122" i="1" s="1"/>
  <c r="Q126" i="1" s="1"/>
  <c r="AH21" i="1"/>
  <c r="AH115" i="1" s="1"/>
  <c r="AH122" i="1" s="1"/>
  <c r="AH126" i="1" s="1"/>
  <c r="AX21" i="1"/>
  <c r="AX115" i="1" s="1"/>
  <c r="AX122" i="1" s="1"/>
  <c r="AX126" i="1" s="1"/>
  <c r="BL21" i="1"/>
  <c r="BV21" i="1"/>
  <c r="BV115" i="1" s="1"/>
  <c r="BV122" i="1" s="1"/>
  <c r="BV126" i="1" s="1"/>
  <c r="BV143" i="1" s="1"/>
  <c r="BU21" i="1"/>
  <c r="BU115" i="1" s="1"/>
  <c r="BU122" i="1" s="1"/>
  <c r="BU126" i="1" s="1"/>
  <c r="T21" i="1"/>
  <c r="T115" i="1" s="1"/>
  <c r="T122" i="1" s="1"/>
  <c r="T126" i="1" s="1"/>
  <c r="AB21" i="1"/>
  <c r="AB115" i="1" s="1"/>
  <c r="AB122" i="1" s="1"/>
  <c r="AB126" i="1" s="1"/>
  <c r="AB143" i="1" s="1"/>
  <c r="BN21" i="1"/>
  <c r="BN115" i="1" s="1"/>
  <c r="BN122" i="1" s="1"/>
  <c r="BN126" i="1" s="1"/>
  <c r="U21" i="1"/>
  <c r="U115" i="1" s="1"/>
  <c r="U122" i="1" s="1"/>
  <c r="U126" i="1" s="1"/>
  <c r="BD21" i="1"/>
  <c r="BD115" i="1" s="1"/>
  <c r="BD122" i="1" s="1"/>
  <c r="BD126" i="1" s="1"/>
  <c r="AN21" i="1"/>
  <c r="AN115" i="1" s="1"/>
  <c r="AN122" i="1" s="1"/>
  <c r="AN126" i="1" s="1"/>
  <c r="AN143" i="1" s="1"/>
  <c r="BC21" i="1"/>
  <c r="BC115" i="1" s="1"/>
  <c r="BC122" i="1" s="1"/>
  <c r="BC126" i="1" s="1"/>
  <c r="BA21" i="1"/>
  <c r="BA115" i="1" s="1"/>
  <c r="BA122" i="1" s="1"/>
  <c r="BA126" i="1" s="1"/>
  <c r="AJ21" i="1"/>
  <c r="AJ115" i="1" s="1"/>
  <c r="AJ122" i="1" s="1"/>
  <c r="AJ126" i="1" s="1"/>
  <c r="X21" i="1"/>
  <c r="X115" i="1" s="1"/>
  <c r="X122" i="1" s="1"/>
  <c r="X126" i="1" s="1"/>
  <c r="BJ21" i="1"/>
  <c r="BJ115" i="1" s="1"/>
  <c r="BJ122" i="1" s="1"/>
  <c r="BJ126" i="1" s="1"/>
  <c r="H21" i="1"/>
  <c r="H115" i="1" s="1"/>
  <c r="H122" i="1" s="1"/>
  <c r="H126" i="1" s="1"/>
  <c r="AM21" i="1"/>
  <c r="AM115" i="1" s="1"/>
  <c r="AM122" i="1" s="1"/>
  <c r="AM126" i="1" s="1"/>
  <c r="AM143" i="1" s="1"/>
  <c r="AS21" i="1"/>
  <c r="AS115" i="1" s="1"/>
  <c r="AS122" i="1" s="1"/>
  <c r="AS126" i="1" s="1"/>
  <c r="AS143" i="1" s="1"/>
  <c r="AV21" i="1"/>
  <c r="AV115" i="1" s="1"/>
  <c r="AV122" i="1" s="1"/>
  <c r="AV126" i="1" s="1"/>
  <c r="BM21" i="1"/>
  <c r="BM115" i="1" s="1"/>
  <c r="BM122" i="1" s="1"/>
  <c r="BM126" i="1" s="1"/>
  <c r="AK21" i="1"/>
  <c r="AK115" i="1" s="1"/>
  <c r="AK122" i="1" s="1"/>
  <c r="AK126" i="1" s="1"/>
  <c r="P21" i="1"/>
  <c r="P115" i="1" s="1"/>
  <c r="P122" i="1" s="1"/>
  <c r="P126" i="1" s="1"/>
  <c r="P143" i="1" s="1"/>
  <c r="AR21" i="1"/>
  <c r="AR115" i="1" s="1"/>
  <c r="AR122" i="1" s="1"/>
  <c r="AR126" i="1" s="1"/>
  <c r="AF21" i="1"/>
  <c r="AF115" i="1" s="1"/>
  <c r="AF122" i="1" s="1"/>
  <c r="AF126" i="1" s="1"/>
  <c r="BQ21" i="1"/>
  <c r="BQ115" i="1" s="1"/>
  <c r="BQ122" i="1" s="1"/>
  <c r="BQ126" i="1" s="1"/>
  <c r="BQ143" i="1" s="1"/>
  <c r="AC21" i="1"/>
  <c r="AC115" i="1" s="1"/>
  <c r="AC122" i="1" s="1"/>
  <c r="AC126" i="1" s="1"/>
  <c r="AC143" i="1" s="1"/>
  <c r="D21" i="1"/>
  <c r="D115" i="1" s="1"/>
  <c r="D122" i="1" s="1"/>
  <c r="D126" i="1" s="1"/>
  <c r="L21" i="1"/>
  <c r="L115" i="1" s="1"/>
  <c r="L122" i="1" s="1"/>
  <c r="L126" i="1" s="1"/>
  <c r="L143" i="1" s="1"/>
  <c r="AZ21" i="1"/>
  <c r="AZ115" i="1" s="1"/>
  <c r="AZ122" i="1" s="1"/>
  <c r="AZ126" i="1" s="1"/>
  <c r="M21" i="1"/>
  <c r="M115" i="1" s="1"/>
  <c r="M122" i="1" s="1"/>
  <c r="M126" i="1" s="1"/>
  <c r="BR21" i="1"/>
  <c r="BR115" i="1" s="1"/>
  <c r="BR122" i="1" s="1"/>
  <c r="BR126" i="1" s="1"/>
  <c r="E21" i="1"/>
  <c r="E115" i="1" s="1"/>
  <c r="E122" i="1" s="1"/>
  <c r="E126" i="1" s="1"/>
  <c r="C21" i="1"/>
  <c r="D70" i="10"/>
  <c r="C70" i="10" s="1"/>
  <c r="C71" i="15" s="1"/>
  <c r="C52" i="11"/>
  <c r="C53" i="16" s="1"/>
  <c r="D53" i="16"/>
  <c r="C53" i="11"/>
  <c r="C54" i="16" s="1"/>
  <c r="D54" i="16"/>
  <c r="C51" i="11"/>
  <c r="C52" i="16" s="1"/>
  <c r="D52" i="16"/>
  <c r="R143" i="1" l="1"/>
  <c r="AI143" i="1"/>
  <c r="AA143" i="1"/>
  <c r="AD143" i="1"/>
  <c r="H143" i="1"/>
  <c r="AZ143" i="1"/>
  <c r="T143" i="1"/>
  <c r="J143" i="1"/>
  <c r="BO143" i="1"/>
  <c r="BW143" i="1"/>
  <c r="AK143" i="1"/>
  <c r="BM143" i="1"/>
  <c r="BU143" i="1"/>
  <c r="U143" i="1"/>
  <c r="BG143" i="1"/>
  <c r="AV143" i="1"/>
  <c r="BC143" i="1"/>
  <c r="BY143" i="1"/>
  <c r="BF143" i="1"/>
  <c r="AY143" i="1"/>
  <c r="BD143" i="1"/>
  <c r="BK143" i="1"/>
  <c r="AP143" i="1"/>
  <c r="BR143" i="1"/>
  <c r="AR143" i="1"/>
  <c r="BJ143" i="1"/>
  <c r="BN143" i="1"/>
  <c r="Q143" i="1"/>
  <c r="AQ143" i="1"/>
  <c r="W143" i="1"/>
  <c r="AT143" i="1"/>
  <c r="M143" i="1"/>
  <c r="X143" i="1"/>
  <c r="O143" i="1"/>
  <c r="BT143" i="1"/>
  <c r="I143" i="1"/>
  <c r="BB143" i="1"/>
  <c r="C57" i="9"/>
  <c r="C58" i="17" s="1"/>
  <c r="Y143" i="1"/>
  <c r="BE143" i="1"/>
  <c r="BI143" i="1"/>
  <c r="AO143" i="1"/>
  <c r="AF143" i="1"/>
  <c r="BZ143" i="1"/>
  <c r="G143" i="1"/>
  <c r="AW143" i="1"/>
  <c r="K143" i="1"/>
  <c r="E143" i="1"/>
  <c r="AL143" i="1"/>
  <c r="AJ143" i="1"/>
  <c r="N143" i="1"/>
  <c r="D143" i="1"/>
  <c r="BA143" i="1"/>
  <c r="AX143" i="1"/>
  <c r="AH143" i="1"/>
  <c r="Z143" i="1"/>
  <c r="V143" i="1"/>
  <c r="S143" i="1"/>
  <c r="BX143" i="1"/>
  <c r="F143" i="1"/>
  <c r="AG143" i="1"/>
  <c r="C60" i="9"/>
  <c r="C61" i="17" s="1"/>
  <c r="C136" i="1"/>
  <c r="D130" i="13"/>
  <c r="BL136" i="1"/>
  <c r="C22" i="13"/>
  <c r="C115" i="1"/>
  <c r="BL115" i="1"/>
  <c r="D22" i="13"/>
  <c r="E17" i="14"/>
  <c r="D71" i="15"/>
  <c r="F8" i="19"/>
  <c r="C55" i="11"/>
  <c r="D56" i="16"/>
  <c r="C137" i="13" l="1"/>
  <c r="C140" i="1"/>
  <c r="C141" i="13" s="1"/>
  <c r="I17" i="14"/>
  <c r="K17" i="14"/>
  <c r="G17" i="14"/>
  <c r="C56" i="16"/>
  <c r="D137" i="13"/>
  <c r="BL140" i="1"/>
  <c r="D141" i="13" s="1"/>
  <c r="C122" i="1"/>
  <c r="C126" i="1" s="1"/>
  <c r="C116" i="13"/>
  <c r="BL122" i="1"/>
  <c r="D116" i="13"/>
  <c r="F83" i="19"/>
  <c r="E16" i="14"/>
  <c r="I16" i="14" l="1"/>
  <c r="K16" i="14"/>
  <c r="M17" i="14"/>
  <c r="G16" i="14"/>
  <c r="C123" i="13"/>
  <c r="BL126" i="1"/>
  <c r="D123" i="13"/>
  <c r="M16" i="14" l="1"/>
  <c r="C127" i="13"/>
  <c r="C143" i="1"/>
  <c r="BL143" i="1"/>
  <c r="D127" i="13"/>
  <c r="E151" i="1" l="1"/>
  <c r="C9" i="19" s="1"/>
  <c r="BH151" i="1"/>
  <c r="C64" i="19" s="1"/>
  <c r="BH144" i="1"/>
  <c r="C144" i="13"/>
  <c r="M151" i="1"/>
  <c r="C17" i="19" s="1"/>
  <c r="AB151" i="1"/>
  <c r="C32" i="19" s="1"/>
  <c r="AA151" i="1"/>
  <c r="C31" i="19" s="1"/>
  <c r="AE151" i="1"/>
  <c r="C35" i="19" s="1"/>
  <c r="AJ144" i="1"/>
  <c r="J144" i="1"/>
  <c r="Z144" i="1"/>
  <c r="BU144" i="1"/>
  <c r="AC144" i="1"/>
  <c r="BY144" i="1"/>
  <c r="BB144" i="1"/>
  <c r="BQ144" i="1"/>
  <c r="BS144" i="1"/>
  <c r="AT144" i="1"/>
  <c r="AF144" i="1"/>
  <c r="BI144" i="1"/>
  <c r="AL144" i="1"/>
  <c r="U144" i="1"/>
  <c r="BG144" i="1"/>
  <c r="M144" i="1"/>
  <c r="AB144" i="1"/>
  <c r="AA144" i="1"/>
  <c r="AE144" i="1"/>
  <c r="T151" i="1"/>
  <c r="C24" i="19" s="1"/>
  <c r="K151" i="1"/>
  <c r="C15" i="19" s="1"/>
  <c r="D151" i="1"/>
  <c r="BT151" i="1"/>
  <c r="C76" i="19" s="1"/>
  <c r="BF151" i="1"/>
  <c r="C62" i="19" s="1"/>
  <c r="Q151" i="1"/>
  <c r="C21" i="19" s="1"/>
  <c r="AS151" i="1"/>
  <c r="C49" i="19" s="1"/>
  <c r="BE151" i="1"/>
  <c r="C61" i="19" s="1"/>
  <c r="BN151" i="1"/>
  <c r="C70" i="19" s="1"/>
  <c r="AM151" i="1"/>
  <c r="C43" i="19" s="1"/>
  <c r="AP151" i="1"/>
  <c r="C46" i="19" s="1"/>
  <c r="BR151" i="1"/>
  <c r="C74" i="19" s="1"/>
  <c r="AH151" i="1"/>
  <c r="C38" i="19" s="1"/>
  <c r="BK151" i="1"/>
  <c r="C67" i="19" s="1"/>
  <c r="AZ151" i="1"/>
  <c r="C56" i="19" s="1"/>
  <c r="BZ151" i="1"/>
  <c r="C82" i="19" s="1"/>
  <c r="G151" i="1"/>
  <c r="C11" i="19" s="1"/>
  <c r="T144" i="1"/>
  <c r="K144" i="1"/>
  <c r="D144" i="1"/>
  <c r="D49" i="9" s="1"/>
  <c r="D51" i="9" s="1"/>
  <c r="D52" i="9" s="1"/>
  <c r="D62" i="9" s="1"/>
  <c r="D64" i="9" s="1"/>
  <c r="BT144" i="1"/>
  <c r="BF144" i="1"/>
  <c r="Q144" i="1"/>
  <c r="AS144" i="1"/>
  <c r="BE144" i="1"/>
  <c r="BN144" i="1"/>
  <c r="AM144" i="1"/>
  <c r="AP144" i="1"/>
  <c r="BR144" i="1"/>
  <c r="AH144" i="1"/>
  <c r="BK144" i="1"/>
  <c r="AZ144" i="1"/>
  <c r="BZ144" i="1"/>
  <c r="G144" i="1"/>
  <c r="L151" i="1"/>
  <c r="C16" i="19" s="1"/>
  <c r="S151" i="1"/>
  <c r="C23" i="19" s="1"/>
  <c r="BO151" i="1"/>
  <c r="C71" i="19" s="1"/>
  <c r="AV151" i="1"/>
  <c r="C52" i="19" s="1"/>
  <c r="I151" i="1"/>
  <c r="C13" i="19" s="1"/>
  <c r="BJ151" i="1"/>
  <c r="C66" i="19" s="1"/>
  <c r="BC151" i="1"/>
  <c r="C59" i="19" s="1"/>
  <c r="AY151" i="1"/>
  <c r="C55" i="19" s="1"/>
  <c r="W151" i="1"/>
  <c r="C27" i="19" s="1"/>
  <c r="AN151" i="1"/>
  <c r="C44" i="19" s="1"/>
  <c r="AI151" i="1"/>
  <c r="C39" i="19" s="1"/>
  <c r="V151" i="1"/>
  <c r="C26" i="19" s="1"/>
  <c r="BD151" i="1"/>
  <c r="C60" i="19" s="1"/>
  <c r="BW151" i="1"/>
  <c r="C79" i="19" s="1"/>
  <c r="AR151" i="1"/>
  <c r="C48" i="19" s="1"/>
  <c r="AU151" i="1"/>
  <c r="C51" i="19" s="1"/>
  <c r="AD151" i="1"/>
  <c r="C34" i="19" s="1"/>
  <c r="AK151" i="1"/>
  <c r="C41" i="19" s="1"/>
  <c r="O151" i="1"/>
  <c r="C19" i="19" s="1"/>
  <c r="N151" i="1"/>
  <c r="C18" i="19" s="1"/>
  <c r="L144" i="1"/>
  <c r="S144" i="1"/>
  <c r="BO144" i="1"/>
  <c r="AV144" i="1"/>
  <c r="I144" i="1"/>
  <c r="BJ144" i="1"/>
  <c r="BC144" i="1"/>
  <c r="AY144" i="1"/>
  <c r="W144" i="1"/>
  <c r="AN144" i="1"/>
  <c r="AI144" i="1"/>
  <c r="V144" i="1"/>
  <c r="BD144" i="1"/>
  <c r="BW144" i="1"/>
  <c r="AR144" i="1"/>
  <c r="AU144" i="1"/>
  <c r="AD144" i="1"/>
  <c r="AK144" i="1"/>
  <c r="O144" i="1"/>
  <c r="N144" i="1"/>
  <c r="BM151" i="1"/>
  <c r="C69" i="19" s="1"/>
  <c r="BX151" i="1"/>
  <c r="C80" i="19" s="1"/>
  <c r="F151" i="1"/>
  <c r="C10" i="19" s="1"/>
  <c r="BA151" i="1"/>
  <c r="C57" i="19" s="1"/>
  <c r="AW151" i="1"/>
  <c r="C53" i="19" s="1"/>
  <c r="AQ151" i="1"/>
  <c r="C47" i="19" s="1"/>
  <c r="BV151" i="1"/>
  <c r="C78" i="19" s="1"/>
  <c r="AG151" i="1"/>
  <c r="C37" i="19" s="1"/>
  <c r="R151" i="1"/>
  <c r="C22" i="19" s="1"/>
  <c r="AX151" i="1"/>
  <c r="C54" i="19" s="1"/>
  <c r="BP151" i="1"/>
  <c r="C72" i="19" s="1"/>
  <c r="H151" i="1"/>
  <c r="C12" i="19" s="1"/>
  <c r="AO151" i="1"/>
  <c r="C45" i="19" s="1"/>
  <c r="X151" i="1"/>
  <c r="C28" i="19" s="1"/>
  <c r="Y151" i="1"/>
  <c r="C29" i="19" s="1"/>
  <c r="P151" i="1"/>
  <c r="C20" i="19" s="1"/>
  <c r="BM144" i="1"/>
  <c r="BX144" i="1"/>
  <c r="F144" i="1"/>
  <c r="BA144" i="1"/>
  <c r="AW144" i="1"/>
  <c r="AQ144" i="1"/>
  <c r="BV144" i="1"/>
  <c r="AG144" i="1"/>
  <c r="R144" i="1"/>
  <c r="E144" i="1"/>
  <c r="AX144" i="1"/>
  <c r="BP144" i="1"/>
  <c r="H144" i="1"/>
  <c r="AO144" i="1"/>
  <c r="J151" i="1"/>
  <c r="C14" i="19" s="1"/>
  <c r="AL151" i="1"/>
  <c r="C42" i="19" s="1"/>
  <c r="Z151" i="1"/>
  <c r="C30" i="19" s="1"/>
  <c r="BQ151" i="1"/>
  <c r="C73" i="19" s="1"/>
  <c r="U151" i="1"/>
  <c r="C25" i="19" s="1"/>
  <c r="BU151" i="1"/>
  <c r="C77" i="19" s="1"/>
  <c r="BG151" i="1"/>
  <c r="C63" i="19" s="1"/>
  <c r="X144" i="1"/>
  <c r="AC151" i="1"/>
  <c r="C33" i="19" s="1"/>
  <c r="BS151" i="1"/>
  <c r="C75" i="19" s="1"/>
  <c r="Y144" i="1"/>
  <c r="BY151" i="1"/>
  <c r="C81" i="19" s="1"/>
  <c r="AT151" i="1"/>
  <c r="C50" i="19" s="1"/>
  <c r="P144" i="1"/>
  <c r="BB151" i="1"/>
  <c r="C58" i="19" s="1"/>
  <c r="AF151" i="1"/>
  <c r="C36" i="19" s="1"/>
  <c r="BI151" i="1"/>
  <c r="C65" i="19" s="1"/>
  <c r="AJ151" i="1"/>
  <c r="C40" i="19" s="1"/>
  <c r="BL151" i="1"/>
  <c r="BL144" i="1"/>
  <c r="D144" i="13"/>
  <c r="BH49" i="9" l="1"/>
  <c r="BH51" i="9" s="1"/>
  <c r="BH52" i="9" s="1"/>
  <c r="BH62" i="9" s="1"/>
  <c r="BH64" i="9" s="1"/>
  <c r="BH62" i="10"/>
  <c r="BH64" i="10" s="1"/>
  <c r="BH65" i="10" s="1"/>
  <c r="BH72" i="10" s="1"/>
  <c r="BH74" i="10" s="1"/>
  <c r="R49" i="9"/>
  <c r="R51" i="9" s="1"/>
  <c r="R52" i="9" s="1"/>
  <c r="R62" i="9" s="1"/>
  <c r="R64" i="9" s="1"/>
  <c r="R62" i="10"/>
  <c r="R64" i="10" s="1"/>
  <c r="R65" i="10" s="1"/>
  <c r="R72" i="10" s="1"/>
  <c r="R74" i="10" s="1"/>
  <c r="BM49" i="9"/>
  <c r="BM51" i="9" s="1"/>
  <c r="BM52" i="9" s="1"/>
  <c r="BM62" i="9" s="1"/>
  <c r="BM64" i="9" s="1"/>
  <c r="BM62" i="10"/>
  <c r="BM64" i="10" s="1"/>
  <c r="BM65" i="10" s="1"/>
  <c r="BM72" i="10" s="1"/>
  <c r="BM74" i="10" s="1"/>
  <c r="AG62" i="10"/>
  <c r="AG64" i="10" s="1"/>
  <c r="AG65" i="10" s="1"/>
  <c r="AG72" i="10" s="1"/>
  <c r="AG74" i="10" s="1"/>
  <c r="AG49" i="9"/>
  <c r="AG51" i="9" s="1"/>
  <c r="AG52" i="9" s="1"/>
  <c r="AG62" i="9" s="1"/>
  <c r="AG64" i="9" s="1"/>
  <c r="BD49" i="9"/>
  <c r="BD51" i="9" s="1"/>
  <c r="BD52" i="9" s="1"/>
  <c r="BD62" i="9" s="1"/>
  <c r="BD64" i="9" s="1"/>
  <c r="BD62" i="10"/>
  <c r="BD64" i="10" s="1"/>
  <c r="BD65" i="10" s="1"/>
  <c r="BD72" i="10" s="1"/>
  <c r="BD74" i="10" s="1"/>
  <c r="I49" i="9"/>
  <c r="I51" i="9" s="1"/>
  <c r="I52" i="9" s="1"/>
  <c r="I62" i="9" s="1"/>
  <c r="I64" i="9" s="1"/>
  <c r="I62" i="10"/>
  <c r="I64" i="10" s="1"/>
  <c r="I65" i="10" s="1"/>
  <c r="I72" i="10" s="1"/>
  <c r="I74" i="10" s="1"/>
  <c r="AM49" i="9"/>
  <c r="AM51" i="9" s="1"/>
  <c r="AM52" i="9" s="1"/>
  <c r="AM62" i="9" s="1"/>
  <c r="AM64" i="9" s="1"/>
  <c r="AM62" i="10"/>
  <c r="AM64" i="10" s="1"/>
  <c r="AM65" i="10" s="1"/>
  <c r="AM72" i="10" s="1"/>
  <c r="AM74" i="10" s="1"/>
  <c r="BT49" i="9"/>
  <c r="BT51" i="9" s="1"/>
  <c r="BT52" i="9" s="1"/>
  <c r="BT62" i="9" s="1"/>
  <c r="BT64" i="9" s="1"/>
  <c r="BT62" i="10"/>
  <c r="BT64" i="10" s="1"/>
  <c r="BT65" i="10" s="1"/>
  <c r="BT72" i="10" s="1"/>
  <c r="BT74" i="10" s="1"/>
  <c r="AA62" i="10"/>
  <c r="AA64" i="10" s="1"/>
  <c r="AA65" i="10" s="1"/>
  <c r="AA72" i="10" s="1"/>
  <c r="AA74" i="10" s="1"/>
  <c r="AA49" i="9"/>
  <c r="AA51" i="9" s="1"/>
  <c r="AA52" i="9" s="1"/>
  <c r="AA62" i="9" s="1"/>
  <c r="AA64" i="9" s="1"/>
  <c r="AT49" i="9"/>
  <c r="AT51" i="9" s="1"/>
  <c r="AT52" i="9" s="1"/>
  <c r="AT62" i="9" s="1"/>
  <c r="AT64" i="9" s="1"/>
  <c r="AT62" i="10"/>
  <c r="AT64" i="10" s="1"/>
  <c r="AT65" i="10" s="1"/>
  <c r="AT72" i="10" s="1"/>
  <c r="AT74" i="10" s="1"/>
  <c r="Z49" i="9"/>
  <c r="Z51" i="9" s="1"/>
  <c r="Z52" i="9" s="1"/>
  <c r="Z62" i="9" s="1"/>
  <c r="Z64" i="9" s="1"/>
  <c r="Z62" i="10"/>
  <c r="Z64" i="10" s="1"/>
  <c r="Z65" i="10" s="1"/>
  <c r="Z72" i="10" s="1"/>
  <c r="Z74" i="10" s="1"/>
  <c r="X49" i="9"/>
  <c r="X51" i="9" s="1"/>
  <c r="X52" i="9" s="1"/>
  <c r="X62" i="9" s="1"/>
  <c r="X64" i="9" s="1"/>
  <c r="X62" i="10"/>
  <c r="X64" i="10" s="1"/>
  <c r="X65" i="10" s="1"/>
  <c r="X72" i="10" s="1"/>
  <c r="X74" i="10" s="1"/>
  <c r="BV62" i="10"/>
  <c r="BV64" i="10" s="1"/>
  <c r="BV65" i="10" s="1"/>
  <c r="BV72" i="10" s="1"/>
  <c r="BV74" i="10" s="1"/>
  <c r="BV49" i="9"/>
  <c r="BV51" i="9" s="1"/>
  <c r="BV52" i="9" s="1"/>
  <c r="BV62" i="9" s="1"/>
  <c r="BV64" i="9" s="1"/>
  <c r="N49" i="9"/>
  <c r="N51" i="9" s="1"/>
  <c r="N52" i="9" s="1"/>
  <c r="N62" i="9" s="1"/>
  <c r="N64" i="9" s="1"/>
  <c r="N62" i="10"/>
  <c r="N64" i="10" s="1"/>
  <c r="N65" i="10" s="1"/>
  <c r="N72" i="10" s="1"/>
  <c r="N74" i="10" s="1"/>
  <c r="V49" i="9"/>
  <c r="V51" i="9" s="1"/>
  <c r="V52" i="9" s="1"/>
  <c r="V62" i="9" s="1"/>
  <c r="V64" i="9" s="1"/>
  <c r="V62" i="10"/>
  <c r="V64" i="10" s="1"/>
  <c r="V65" i="10" s="1"/>
  <c r="V72" i="10" s="1"/>
  <c r="V74" i="10" s="1"/>
  <c r="AV49" i="9"/>
  <c r="AV62" i="10"/>
  <c r="AV64" i="10" s="1"/>
  <c r="AV65" i="10" s="1"/>
  <c r="AV72" i="10" s="1"/>
  <c r="AV74" i="10" s="1"/>
  <c r="G49" i="9"/>
  <c r="G51" i="9" s="1"/>
  <c r="G52" i="9" s="1"/>
  <c r="G62" i="9" s="1"/>
  <c r="G64" i="9" s="1"/>
  <c r="G62" i="10"/>
  <c r="G64" i="10" s="1"/>
  <c r="G65" i="10" s="1"/>
  <c r="G72" i="10" s="1"/>
  <c r="G74" i="10" s="1"/>
  <c r="BN49" i="9"/>
  <c r="BN51" i="9" s="1"/>
  <c r="BN52" i="9" s="1"/>
  <c r="BN62" i="9" s="1"/>
  <c r="BN64" i="9" s="1"/>
  <c r="BN62" i="10"/>
  <c r="BN64" i="10" s="1"/>
  <c r="BN65" i="10" s="1"/>
  <c r="BN72" i="10" s="1"/>
  <c r="BN74" i="10" s="1"/>
  <c r="D62" i="10"/>
  <c r="D64" i="10" s="1"/>
  <c r="D65" i="10" s="1"/>
  <c r="D72" i="10" s="1"/>
  <c r="AB49" i="9"/>
  <c r="AB51" i="9" s="1"/>
  <c r="AB52" i="9" s="1"/>
  <c r="AB62" i="9" s="1"/>
  <c r="AB64" i="9" s="1"/>
  <c r="AB62" i="10"/>
  <c r="AB64" i="10" s="1"/>
  <c r="AB65" i="10" s="1"/>
  <c r="AB72" i="10" s="1"/>
  <c r="AB74" i="10" s="1"/>
  <c r="BS49" i="9"/>
  <c r="BS51" i="9" s="1"/>
  <c r="BS52" i="9" s="1"/>
  <c r="BS62" i="9" s="1"/>
  <c r="BS64" i="9" s="1"/>
  <c r="BS62" i="10"/>
  <c r="BS64" i="10" s="1"/>
  <c r="BS65" i="10" s="1"/>
  <c r="BS72" i="10" s="1"/>
  <c r="BS74" i="10" s="1"/>
  <c r="J49" i="9"/>
  <c r="J51" i="9" s="1"/>
  <c r="J52" i="9" s="1"/>
  <c r="J62" i="9" s="1"/>
  <c r="J64" i="9" s="1"/>
  <c r="J62" i="10"/>
  <c r="J64" i="10" s="1"/>
  <c r="J65" i="10" s="1"/>
  <c r="J72" i="10" s="1"/>
  <c r="J74" i="10" s="1"/>
  <c r="BC62" i="10"/>
  <c r="BC64" i="10" s="1"/>
  <c r="BC65" i="10" s="1"/>
  <c r="BC72" i="10" s="1"/>
  <c r="BC74" i="10" s="1"/>
  <c r="BC49" i="9"/>
  <c r="BC51" i="9" s="1"/>
  <c r="BC52" i="9" s="1"/>
  <c r="BC62" i="9" s="1"/>
  <c r="BC64" i="9" s="1"/>
  <c r="O49" i="9"/>
  <c r="O51" i="9" s="1"/>
  <c r="O52" i="9" s="1"/>
  <c r="O62" i="9" s="1"/>
  <c r="O64" i="9" s="1"/>
  <c r="O62" i="10"/>
  <c r="O64" i="10" s="1"/>
  <c r="O65" i="10" s="1"/>
  <c r="O72" i="10" s="1"/>
  <c r="O74" i="10" s="1"/>
  <c r="AI62" i="10"/>
  <c r="AI64" i="10" s="1"/>
  <c r="AI65" i="10" s="1"/>
  <c r="AI72" i="10" s="1"/>
  <c r="AI74" i="10" s="1"/>
  <c r="AI49" i="9"/>
  <c r="AI51" i="9" s="1"/>
  <c r="AI52" i="9" s="1"/>
  <c r="AI62" i="9" s="1"/>
  <c r="AI64" i="9" s="1"/>
  <c r="BO49" i="9"/>
  <c r="BO51" i="9" s="1"/>
  <c r="BO52" i="9" s="1"/>
  <c r="BO62" i="9" s="1"/>
  <c r="BO64" i="9" s="1"/>
  <c r="BO62" i="10"/>
  <c r="BO64" i="10" s="1"/>
  <c r="BO65" i="10" s="1"/>
  <c r="BO72" i="10" s="1"/>
  <c r="BO74" i="10" s="1"/>
  <c r="BZ62" i="10"/>
  <c r="BZ64" i="10" s="1"/>
  <c r="BZ65" i="10" s="1"/>
  <c r="BZ72" i="10" s="1"/>
  <c r="BZ74" i="10" s="1"/>
  <c r="BZ49" i="9"/>
  <c r="BZ51" i="9" s="1"/>
  <c r="BZ52" i="9" s="1"/>
  <c r="BZ62" i="9" s="1"/>
  <c r="BZ64" i="9" s="1"/>
  <c r="BE49" i="9"/>
  <c r="BE51" i="9" s="1"/>
  <c r="BE52" i="9" s="1"/>
  <c r="BE62" i="9" s="1"/>
  <c r="BE64" i="9" s="1"/>
  <c r="BE62" i="10"/>
  <c r="BE64" i="10" s="1"/>
  <c r="BE65" i="10" s="1"/>
  <c r="BE72" i="10" s="1"/>
  <c r="BE74" i="10" s="1"/>
  <c r="K62" i="10"/>
  <c r="K64" i="10" s="1"/>
  <c r="K65" i="10" s="1"/>
  <c r="K72" i="10" s="1"/>
  <c r="K74" i="10" s="1"/>
  <c r="K49" i="9"/>
  <c r="K51" i="9" s="1"/>
  <c r="K52" i="9" s="1"/>
  <c r="K62" i="9" s="1"/>
  <c r="K64" i="9" s="1"/>
  <c r="M49" i="9"/>
  <c r="M51" i="9" s="1"/>
  <c r="M52" i="9" s="1"/>
  <c r="M62" i="9" s="1"/>
  <c r="M64" i="9" s="1"/>
  <c r="M62" i="10"/>
  <c r="M64" i="10" s="1"/>
  <c r="M65" i="10" s="1"/>
  <c r="M72" i="10" s="1"/>
  <c r="M74" i="10" s="1"/>
  <c r="BQ49" i="9"/>
  <c r="BQ51" i="9" s="1"/>
  <c r="BQ52" i="9" s="1"/>
  <c r="BQ62" i="9" s="1"/>
  <c r="BQ64" i="9" s="1"/>
  <c r="BQ62" i="10"/>
  <c r="BQ64" i="10" s="1"/>
  <c r="BQ65" i="10" s="1"/>
  <c r="BQ72" i="10" s="1"/>
  <c r="BQ74" i="10" s="1"/>
  <c r="AJ49" i="9"/>
  <c r="AJ51" i="9" s="1"/>
  <c r="AJ52" i="9" s="1"/>
  <c r="AJ62" i="9" s="1"/>
  <c r="AJ64" i="9" s="1"/>
  <c r="AJ62" i="10"/>
  <c r="AJ64" i="10" s="1"/>
  <c r="AJ65" i="10" s="1"/>
  <c r="AJ72" i="10" s="1"/>
  <c r="AJ74" i="10" s="1"/>
  <c r="C68" i="19"/>
  <c r="D152" i="13"/>
  <c r="Y49" i="9"/>
  <c r="Y51" i="9" s="1"/>
  <c r="Y52" i="9" s="1"/>
  <c r="Y62" i="9" s="1"/>
  <c r="Y64" i="9" s="1"/>
  <c r="Y62" i="10"/>
  <c r="Y64" i="10" s="1"/>
  <c r="Y65" i="10" s="1"/>
  <c r="Y72" i="10" s="1"/>
  <c r="Y74" i="10" s="1"/>
  <c r="E49" i="9"/>
  <c r="E51" i="9" s="1"/>
  <c r="E52" i="9" s="1"/>
  <c r="E62" i="9" s="1"/>
  <c r="E64" i="9" s="1"/>
  <c r="E62" i="10"/>
  <c r="E64" i="10" s="1"/>
  <c r="E65" i="10" s="1"/>
  <c r="E72" i="10" s="1"/>
  <c r="E74" i="10" s="1"/>
  <c r="AR49" i="9"/>
  <c r="AR51" i="9" s="1"/>
  <c r="AR52" i="9" s="1"/>
  <c r="AR62" i="9" s="1"/>
  <c r="AR64" i="9" s="1"/>
  <c r="AR62" i="10"/>
  <c r="AR64" i="10" s="1"/>
  <c r="AR65" i="10" s="1"/>
  <c r="AR72" i="10" s="1"/>
  <c r="AR74" i="10" s="1"/>
  <c r="AZ49" i="9"/>
  <c r="AZ51" i="9" s="1"/>
  <c r="AZ52" i="9" s="1"/>
  <c r="AZ62" i="9" s="1"/>
  <c r="AZ64" i="9" s="1"/>
  <c r="AZ62" i="10"/>
  <c r="AZ64" i="10" s="1"/>
  <c r="AZ65" i="10" s="1"/>
  <c r="AZ72" i="10" s="1"/>
  <c r="AZ74" i="10" s="1"/>
  <c r="AS49" i="9"/>
  <c r="AS51" i="9" s="1"/>
  <c r="AS52" i="9" s="1"/>
  <c r="AS62" i="9" s="1"/>
  <c r="AS64" i="9" s="1"/>
  <c r="AS62" i="10"/>
  <c r="AS64" i="10" s="1"/>
  <c r="AS65" i="10" s="1"/>
  <c r="AS72" i="10" s="1"/>
  <c r="AS74" i="10" s="1"/>
  <c r="T49" i="9"/>
  <c r="T51" i="9" s="1"/>
  <c r="T52" i="9" s="1"/>
  <c r="T62" i="9" s="1"/>
  <c r="T64" i="9" s="1"/>
  <c r="T62" i="10"/>
  <c r="T64" i="10" s="1"/>
  <c r="T65" i="10" s="1"/>
  <c r="T72" i="10" s="1"/>
  <c r="T74" i="10" s="1"/>
  <c r="BG49" i="9"/>
  <c r="BG51" i="9" s="1"/>
  <c r="BG52" i="9" s="1"/>
  <c r="BG62" i="9" s="1"/>
  <c r="BG64" i="9" s="1"/>
  <c r="BG62" i="10"/>
  <c r="BG64" i="10" s="1"/>
  <c r="BG65" i="10" s="1"/>
  <c r="BG72" i="10" s="1"/>
  <c r="BG74" i="10" s="1"/>
  <c r="BB49" i="9"/>
  <c r="BB51" i="9" s="1"/>
  <c r="BB52" i="9" s="1"/>
  <c r="BB62" i="9" s="1"/>
  <c r="BB64" i="9" s="1"/>
  <c r="BB62" i="10"/>
  <c r="BB64" i="10" s="1"/>
  <c r="BB65" i="10" s="1"/>
  <c r="BB72" i="10" s="1"/>
  <c r="BB74" i="10" s="1"/>
  <c r="H49" i="9"/>
  <c r="H51" i="9" s="1"/>
  <c r="H52" i="9" s="1"/>
  <c r="H62" i="9" s="1"/>
  <c r="H64" i="9" s="1"/>
  <c r="H62" i="10"/>
  <c r="H64" i="10" s="1"/>
  <c r="H65" i="10" s="1"/>
  <c r="H72" i="10" s="1"/>
  <c r="H74" i="10" s="1"/>
  <c r="AW62" i="10"/>
  <c r="AW64" i="10" s="1"/>
  <c r="AW65" i="10" s="1"/>
  <c r="AW72" i="10" s="1"/>
  <c r="AW74" i="10" s="1"/>
  <c r="AW49" i="9"/>
  <c r="AW51" i="9" s="1"/>
  <c r="AW52" i="9" s="1"/>
  <c r="AW62" i="9" s="1"/>
  <c r="AW64" i="9" s="1"/>
  <c r="AK49" i="9"/>
  <c r="AK51" i="9" s="1"/>
  <c r="AK52" i="9" s="1"/>
  <c r="AK62" i="9" s="1"/>
  <c r="AK64" i="9" s="1"/>
  <c r="AK62" i="10"/>
  <c r="AK64" i="10" s="1"/>
  <c r="AK65" i="10" s="1"/>
  <c r="AK72" i="10" s="1"/>
  <c r="AK74" i="10" s="1"/>
  <c r="AN49" i="9"/>
  <c r="AN51" i="9" s="1"/>
  <c r="AN52" i="9" s="1"/>
  <c r="AN62" i="9" s="1"/>
  <c r="AN64" i="9" s="1"/>
  <c r="AN62" i="10"/>
  <c r="AN64" i="10" s="1"/>
  <c r="AN65" i="10" s="1"/>
  <c r="AN72" i="10" s="1"/>
  <c r="AN74" i="10" s="1"/>
  <c r="S62" i="10"/>
  <c r="S64" i="10" s="1"/>
  <c r="S65" i="10" s="1"/>
  <c r="S72" i="10" s="1"/>
  <c r="S74" i="10" s="1"/>
  <c r="S49" i="9"/>
  <c r="S51" i="9" s="1"/>
  <c r="S52" i="9" s="1"/>
  <c r="S62" i="9" s="1"/>
  <c r="S64" i="9" s="1"/>
  <c r="BP62" i="10"/>
  <c r="BP64" i="10" s="1"/>
  <c r="BP65" i="10" s="1"/>
  <c r="BP72" i="10" s="1"/>
  <c r="BP74" i="10" s="1"/>
  <c r="BP49" i="9"/>
  <c r="BP51" i="9" s="1"/>
  <c r="BP52" i="9" s="1"/>
  <c r="BP62" i="9" s="1"/>
  <c r="BP64" i="9" s="1"/>
  <c r="BA49" i="9"/>
  <c r="BA51" i="9" s="1"/>
  <c r="BA52" i="9" s="1"/>
  <c r="BA62" i="9" s="1"/>
  <c r="BA64" i="9" s="1"/>
  <c r="BA62" i="10"/>
  <c r="BA64" i="10" s="1"/>
  <c r="BA65" i="10" s="1"/>
  <c r="BA72" i="10" s="1"/>
  <c r="BA74" i="10" s="1"/>
  <c r="AD49" i="9"/>
  <c r="AD51" i="9" s="1"/>
  <c r="AD52" i="9" s="1"/>
  <c r="AD62" i="9" s="1"/>
  <c r="AD64" i="9" s="1"/>
  <c r="AD62" i="10"/>
  <c r="AD64" i="10" s="1"/>
  <c r="AD65" i="10" s="1"/>
  <c r="AD72" i="10" s="1"/>
  <c r="AD74" i="10" s="1"/>
  <c r="W49" i="9"/>
  <c r="W51" i="9" s="1"/>
  <c r="W52" i="9" s="1"/>
  <c r="W62" i="9" s="1"/>
  <c r="W64" i="9" s="1"/>
  <c r="W62" i="10"/>
  <c r="W64" i="10" s="1"/>
  <c r="W65" i="10" s="1"/>
  <c r="W72" i="10" s="1"/>
  <c r="W74" i="10" s="1"/>
  <c r="L49" i="9"/>
  <c r="L51" i="9" s="1"/>
  <c r="L52" i="9" s="1"/>
  <c r="L62" i="9" s="1"/>
  <c r="L64" i="9" s="1"/>
  <c r="L62" i="10"/>
  <c r="L64" i="10" s="1"/>
  <c r="L65" i="10" s="1"/>
  <c r="L72" i="10" s="1"/>
  <c r="L74" i="10" s="1"/>
  <c r="BK49" i="9"/>
  <c r="BK51" i="9" s="1"/>
  <c r="BK52" i="9" s="1"/>
  <c r="BK62" i="9" s="1"/>
  <c r="BK64" i="9" s="1"/>
  <c r="BK62" i="10"/>
  <c r="BK64" i="10" s="1"/>
  <c r="BK65" i="10" s="1"/>
  <c r="BK72" i="10" s="1"/>
  <c r="BK74" i="10" s="1"/>
  <c r="Q62" i="10"/>
  <c r="Q64" i="10" s="1"/>
  <c r="Q65" i="10" s="1"/>
  <c r="Q72" i="10" s="1"/>
  <c r="Q74" i="10" s="1"/>
  <c r="Q49" i="9"/>
  <c r="Q51" i="9" s="1"/>
  <c r="Q52" i="9" s="1"/>
  <c r="Q62" i="9" s="1"/>
  <c r="Q64" i="9" s="1"/>
  <c r="C8" i="19"/>
  <c r="C151" i="1"/>
  <c r="C152" i="13" s="1"/>
  <c r="U49" i="9"/>
  <c r="U51" i="9" s="1"/>
  <c r="U52" i="9" s="1"/>
  <c r="U62" i="9" s="1"/>
  <c r="U64" i="9" s="1"/>
  <c r="U62" i="10"/>
  <c r="U64" i="10" s="1"/>
  <c r="U65" i="10" s="1"/>
  <c r="U72" i="10" s="1"/>
  <c r="U74" i="10" s="1"/>
  <c r="BY62" i="10"/>
  <c r="BY64" i="10" s="1"/>
  <c r="BY65" i="10" s="1"/>
  <c r="BY72" i="10" s="1"/>
  <c r="BY74" i="10" s="1"/>
  <c r="BY49" i="9"/>
  <c r="BY51" i="9" s="1"/>
  <c r="BY52" i="9" s="1"/>
  <c r="BY62" i="9" s="1"/>
  <c r="BY64" i="9" s="1"/>
  <c r="AO49" i="9"/>
  <c r="AO51" i="9" s="1"/>
  <c r="AO52" i="9" s="1"/>
  <c r="AO62" i="9" s="1"/>
  <c r="AO64" i="9" s="1"/>
  <c r="AO62" i="10"/>
  <c r="AO64" i="10" s="1"/>
  <c r="AO65" i="10" s="1"/>
  <c r="AO72" i="10" s="1"/>
  <c r="AO74" i="10" s="1"/>
  <c r="AQ62" i="10"/>
  <c r="AQ64" i="10" s="1"/>
  <c r="AQ65" i="10" s="1"/>
  <c r="AQ72" i="10" s="1"/>
  <c r="AQ74" i="10" s="1"/>
  <c r="AQ49" i="9"/>
  <c r="AQ51" i="9" s="1"/>
  <c r="AQ52" i="9" s="1"/>
  <c r="AQ62" i="9" s="1"/>
  <c r="AQ64" i="9" s="1"/>
  <c r="P49" i="9"/>
  <c r="P51" i="9" s="1"/>
  <c r="P52" i="9" s="1"/>
  <c r="P62" i="9" s="1"/>
  <c r="P64" i="9" s="1"/>
  <c r="P62" i="10"/>
  <c r="P64" i="10" s="1"/>
  <c r="P65" i="10" s="1"/>
  <c r="P72" i="10" s="1"/>
  <c r="P74" i="10" s="1"/>
  <c r="BL62" i="10"/>
  <c r="BL49" i="9"/>
  <c r="D145" i="13"/>
  <c r="AX62" i="10"/>
  <c r="AX64" i="10" s="1"/>
  <c r="AX65" i="10" s="1"/>
  <c r="AX72" i="10" s="1"/>
  <c r="AX74" i="10" s="1"/>
  <c r="AX49" i="9"/>
  <c r="AX51" i="9" s="1"/>
  <c r="AX52" i="9" s="1"/>
  <c r="AX62" i="9" s="1"/>
  <c r="AX64" i="9" s="1"/>
  <c r="F49" i="9"/>
  <c r="F51" i="9" s="1"/>
  <c r="F52" i="9" s="1"/>
  <c r="F62" i="9" s="1"/>
  <c r="F64" i="9" s="1"/>
  <c r="F62" i="10"/>
  <c r="F64" i="10" s="1"/>
  <c r="F65" i="10" s="1"/>
  <c r="F72" i="10" s="1"/>
  <c r="F74" i="10" s="1"/>
  <c r="AU49" i="9"/>
  <c r="AU51" i="9" s="1"/>
  <c r="AU52" i="9" s="1"/>
  <c r="AU62" i="9" s="1"/>
  <c r="AU64" i="9" s="1"/>
  <c r="AU62" i="10"/>
  <c r="AU64" i="10" s="1"/>
  <c r="AU65" i="10" s="1"/>
  <c r="AU72" i="10" s="1"/>
  <c r="AU74" i="10" s="1"/>
  <c r="AY62" i="10"/>
  <c r="AY64" i="10" s="1"/>
  <c r="AY65" i="10" s="1"/>
  <c r="AY72" i="10" s="1"/>
  <c r="AY74" i="10" s="1"/>
  <c r="AY49" i="9"/>
  <c r="AY51" i="9" s="1"/>
  <c r="AY52" i="9" s="1"/>
  <c r="AY62" i="9" s="1"/>
  <c r="AY64" i="9" s="1"/>
  <c r="AH49" i="9"/>
  <c r="AH51" i="9" s="1"/>
  <c r="AH52" i="9" s="1"/>
  <c r="AH62" i="9" s="1"/>
  <c r="AH64" i="9" s="1"/>
  <c r="AH62" i="10"/>
  <c r="AH64" i="10" s="1"/>
  <c r="AH65" i="10" s="1"/>
  <c r="AH72" i="10" s="1"/>
  <c r="AH74" i="10" s="1"/>
  <c r="BF62" i="10"/>
  <c r="BF64" i="10" s="1"/>
  <c r="BF65" i="10" s="1"/>
  <c r="BF72" i="10" s="1"/>
  <c r="BF74" i="10" s="1"/>
  <c r="BF49" i="9"/>
  <c r="BF51" i="9" s="1"/>
  <c r="BF52" i="9" s="1"/>
  <c r="BF62" i="9" s="1"/>
  <c r="BF64" i="9" s="1"/>
  <c r="AL49" i="9"/>
  <c r="AL51" i="9" s="1"/>
  <c r="AL52" i="9" s="1"/>
  <c r="AL62" i="9" s="1"/>
  <c r="AL64" i="9" s="1"/>
  <c r="AL62" i="10"/>
  <c r="AL64" i="10" s="1"/>
  <c r="AL65" i="10" s="1"/>
  <c r="AL72" i="10" s="1"/>
  <c r="AL74" i="10" s="1"/>
  <c r="AC49" i="9"/>
  <c r="AC51" i="9" s="1"/>
  <c r="AC52" i="9" s="1"/>
  <c r="AC62" i="9" s="1"/>
  <c r="AC64" i="9" s="1"/>
  <c r="AC62" i="10"/>
  <c r="AC64" i="10" s="1"/>
  <c r="AC65" i="10" s="1"/>
  <c r="AC72" i="10" s="1"/>
  <c r="AC74" i="10" s="1"/>
  <c r="BR62" i="10"/>
  <c r="BR64" i="10" s="1"/>
  <c r="BR65" i="10" s="1"/>
  <c r="BR72" i="10" s="1"/>
  <c r="BR74" i="10" s="1"/>
  <c r="BR49" i="9"/>
  <c r="BR51" i="9" s="1"/>
  <c r="BR52" i="9" s="1"/>
  <c r="BR62" i="9" s="1"/>
  <c r="BR64" i="9" s="1"/>
  <c r="BI49" i="9"/>
  <c r="BI51" i="9" s="1"/>
  <c r="BI52" i="9" s="1"/>
  <c r="BI62" i="9" s="1"/>
  <c r="BI64" i="9" s="1"/>
  <c r="BI62" i="10"/>
  <c r="BI64" i="10" s="1"/>
  <c r="BI65" i="10" s="1"/>
  <c r="BI72" i="10" s="1"/>
  <c r="BI74" i="10" s="1"/>
  <c r="BX49" i="9"/>
  <c r="BX51" i="9" s="1"/>
  <c r="BX52" i="9" s="1"/>
  <c r="BX62" i="9" s="1"/>
  <c r="BX64" i="9" s="1"/>
  <c r="BX62" i="10"/>
  <c r="BX64" i="10" s="1"/>
  <c r="BX65" i="10" s="1"/>
  <c r="BX72" i="10" s="1"/>
  <c r="BX74" i="10" s="1"/>
  <c r="BW62" i="10"/>
  <c r="BW64" i="10" s="1"/>
  <c r="BW65" i="10" s="1"/>
  <c r="BW72" i="10" s="1"/>
  <c r="BW74" i="10" s="1"/>
  <c r="BW49" i="9"/>
  <c r="BW51" i="9" s="1"/>
  <c r="BW52" i="9" s="1"/>
  <c r="BW62" i="9" s="1"/>
  <c r="BW64" i="9" s="1"/>
  <c r="BJ49" i="9"/>
  <c r="BJ51" i="9" s="1"/>
  <c r="BJ52" i="9" s="1"/>
  <c r="BJ62" i="9" s="1"/>
  <c r="BJ64" i="9" s="1"/>
  <c r="BJ62" i="10"/>
  <c r="BJ64" i="10" s="1"/>
  <c r="BJ65" i="10" s="1"/>
  <c r="BJ72" i="10" s="1"/>
  <c r="BJ74" i="10" s="1"/>
  <c r="AP49" i="9"/>
  <c r="AP51" i="9" s="1"/>
  <c r="AP52" i="9" s="1"/>
  <c r="AP62" i="9" s="1"/>
  <c r="AP64" i="9" s="1"/>
  <c r="AP62" i="10"/>
  <c r="AP64" i="10" s="1"/>
  <c r="AP65" i="10" s="1"/>
  <c r="AP72" i="10" s="1"/>
  <c r="AP74" i="10" s="1"/>
  <c r="AE49" i="9"/>
  <c r="AE51" i="9" s="1"/>
  <c r="AE52" i="9" s="1"/>
  <c r="AE62" i="9" s="1"/>
  <c r="AE64" i="9" s="1"/>
  <c r="AE62" i="10"/>
  <c r="AE64" i="10" s="1"/>
  <c r="AE65" i="10" s="1"/>
  <c r="AE72" i="10" s="1"/>
  <c r="AE74" i="10" s="1"/>
  <c r="AF49" i="9"/>
  <c r="AF51" i="9" s="1"/>
  <c r="AF52" i="9" s="1"/>
  <c r="AF62" i="9" s="1"/>
  <c r="AF64" i="9" s="1"/>
  <c r="AF62" i="10"/>
  <c r="AF64" i="10" s="1"/>
  <c r="AF65" i="10" s="1"/>
  <c r="AF72" i="10" s="1"/>
  <c r="AF74" i="10" s="1"/>
  <c r="BU49" i="9"/>
  <c r="BU51" i="9" s="1"/>
  <c r="BU52" i="9" s="1"/>
  <c r="BU62" i="9" s="1"/>
  <c r="BU64" i="9" s="1"/>
  <c r="BU62" i="10"/>
  <c r="BU64" i="10" s="1"/>
  <c r="BU65" i="10" s="1"/>
  <c r="BU72" i="10" s="1"/>
  <c r="BU74" i="10" s="1"/>
  <c r="E64" i="19" l="1"/>
  <c r="D55" i="19"/>
  <c r="D10" i="19"/>
  <c r="D62" i="19"/>
  <c r="D24" i="19"/>
  <c r="D18" i="19"/>
  <c r="D60" i="19"/>
  <c r="D38" i="19"/>
  <c r="D54" i="19"/>
  <c r="D21" i="19"/>
  <c r="D72" i="19"/>
  <c r="D23" i="19"/>
  <c r="D78" i="19"/>
  <c r="D76" i="19"/>
  <c r="D69" i="19"/>
  <c r="D79" i="19"/>
  <c r="D25" i="19"/>
  <c r="D13" i="19"/>
  <c r="D74" i="19"/>
  <c r="D66" i="19"/>
  <c r="D33" i="19"/>
  <c r="D67" i="19"/>
  <c r="D16" i="19"/>
  <c r="D44" i="19"/>
  <c r="D53" i="19"/>
  <c r="D49" i="19"/>
  <c r="D40" i="19"/>
  <c r="D39" i="19"/>
  <c r="D75" i="19"/>
  <c r="D70" i="19"/>
  <c r="D31" i="19"/>
  <c r="D36" i="19"/>
  <c r="D47" i="19"/>
  <c r="D26" i="19"/>
  <c r="D12" i="19"/>
  <c r="D34" i="19"/>
  <c r="D29" i="19"/>
  <c r="D77" i="19"/>
  <c r="D20" i="19"/>
  <c r="D19" i="19"/>
  <c r="D43" i="19"/>
  <c r="D22" i="19"/>
  <c r="D80" i="19"/>
  <c r="D65" i="19"/>
  <c r="D42" i="19"/>
  <c r="D27" i="19"/>
  <c r="D41" i="19"/>
  <c r="D56" i="19"/>
  <c r="D9" i="19"/>
  <c r="D73" i="19"/>
  <c r="D15" i="19"/>
  <c r="D59" i="19"/>
  <c r="D32" i="19"/>
  <c r="D11" i="19"/>
  <c r="D52" i="19"/>
  <c r="D37" i="19"/>
  <c r="D81" i="19"/>
  <c r="D61" i="19"/>
  <c r="D28" i="19"/>
  <c r="D30" i="19"/>
  <c r="D51" i="19"/>
  <c r="D57" i="19"/>
  <c r="D17" i="19"/>
  <c r="D35" i="19"/>
  <c r="D46" i="19"/>
  <c r="D45" i="19"/>
  <c r="D48" i="19"/>
  <c r="D71" i="19"/>
  <c r="D50" i="19"/>
  <c r="D64" i="19"/>
  <c r="D58" i="19"/>
  <c r="D63" i="19"/>
  <c r="D82" i="19"/>
  <c r="D14" i="19"/>
  <c r="E18" i="19"/>
  <c r="E31" i="19"/>
  <c r="E60" i="19"/>
  <c r="E66" i="19"/>
  <c r="E33" i="19"/>
  <c r="E67" i="19"/>
  <c r="E16" i="19"/>
  <c r="E44" i="19"/>
  <c r="E49" i="19"/>
  <c r="E40" i="19"/>
  <c r="E15" i="19"/>
  <c r="E59" i="19"/>
  <c r="E75" i="19"/>
  <c r="E76" i="19"/>
  <c r="E69" i="19"/>
  <c r="E55" i="19"/>
  <c r="E20" i="19"/>
  <c r="E81" i="19"/>
  <c r="E12" i="19"/>
  <c r="E19" i="19"/>
  <c r="E70" i="19"/>
  <c r="E37" i="19"/>
  <c r="E80" i="19"/>
  <c r="E65" i="19"/>
  <c r="E42" i="19"/>
  <c r="E47" i="19"/>
  <c r="E27" i="19"/>
  <c r="E41" i="19"/>
  <c r="E56" i="19"/>
  <c r="E9" i="19"/>
  <c r="E73" i="19"/>
  <c r="E32" i="19"/>
  <c r="E43" i="19"/>
  <c r="E22" i="19"/>
  <c r="E38" i="19"/>
  <c r="E77" i="19"/>
  <c r="E79" i="19"/>
  <c r="E36" i="19"/>
  <c r="E61" i="19"/>
  <c r="E11" i="19"/>
  <c r="AV51" i="9"/>
  <c r="D50" i="17"/>
  <c r="E74" i="19"/>
  <c r="E62" i="19"/>
  <c r="E51" i="19"/>
  <c r="E10" i="19"/>
  <c r="H10" i="19" s="1"/>
  <c r="E25" i="19"/>
  <c r="E34" i="19"/>
  <c r="E57" i="19"/>
  <c r="E58" i="19"/>
  <c r="E29" i="19"/>
  <c r="E17" i="19"/>
  <c r="E82" i="19"/>
  <c r="E28" i="19"/>
  <c r="E30" i="19"/>
  <c r="E54" i="19"/>
  <c r="E45" i="19"/>
  <c r="E21" i="19"/>
  <c r="E72" i="19"/>
  <c r="E23" i="19"/>
  <c r="E48" i="19"/>
  <c r="E71" i="19"/>
  <c r="E26" i="19"/>
  <c r="E13" i="19"/>
  <c r="E35" i="19"/>
  <c r="E46" i="19"/>
  <c r="E53" i="19"/>
  <c r="E63" i="19"/>
  <c r="E24" i="19"/>
  <c r="E39" i="19"/>
  <c r="E14" i="19"/>
  <c r="E78" i="19"/>
  <c r="E50" i="19"/>
  <c r="C83" i="19"/>
  <c r="BL51" i="9"/>
  <c r="BL52" i="9" s="1"/>
  <c r="BL64" i="10"/>
  <c r="D63" i="15"/>
  <c r="D74" i="10"/>
  <c r="E13" i="14"/>
  <c r="H23" i="19" l="1"/>
  <c r="H64" i="19"/>
  <c r="H51" i="19"/>
  <c r="H50" i="19"/>
  <c r="H42" i="19"/>
  <c r="H82" i="19"/>
  <c r="H46" i="19"/>
  <c r="H54" i="19"/>
  <c r="H80" i="19"/>
  <c r="H16" i="19"/>
  <c r="H31" i="19"/>
  <c r="H57" i="19"/>
  <c r="H49" i="19"/>
  <c r="H79" i="19"/>
  <c r="H56" i="19"/>
  <c r="H18" i="19"/>
  <c r="H71" i="19"/>
  <c r="H48" i="19"/>
  <c r="H77" i="19"/>
  <c r="H59" i="19"/>
  <c r="H66" i="19"/>
  <c r="H20" i="19"/>
  <c r="H58" i="19"/>
  <c r="H65" i="19"/>
  <c r="H40" i="19"/>
  <c r="H69" i="19"/>
  <c r="H81" i="19"/>
  <c r="H73" i="19"/>
  <c r="H61" i="19"/>
  <c r="H15" i="19"/>
  <c r="H43" i="19"/>
  <c r="H45" i="19"/>
  <c r="H60" i="19"/>
  <c r="H9" i="19"/>
  <c r="H72" i="19"/>
  <c r="H70" i="19"/>
  <c r="H78" i="19"/>
  <c r="H76" i="19"/>
  <c r="H55" i="19"/>
  <c r="H34" i="19"/>
  <c r="H28" i="19"/>
  <c r="H11" i="19"/>
  <c r="H44" i="19"/>
  <c r="H37" i="19"/>
  <c r="H74" i="19"/>
  <c r="H27" i="19"/>
  <c r="H75" i="19"/>
  <c r="H26" i="19"/>
  <c r="H33" i="19"/>
  <c r="H47" i="19"/>
  <c r="H19" i="19"/>
  <c r="H38" i="19"/>
  <c r="H21" i="19"/>
  <c r="H32" i="19"/>
  <c r="H30" i="19"/>
  <c r="H17" i="19"/>
  <c r="H12" i="19"/>
  <c r="H67" i="19"/>
  <c r="H24" i="19"/>
  <c r="H35" i="19"/>
  <c r="AV52" i="9"/>
  <c r="D52" i="17"/>
  <c r="H53" i="19"/>
  <c r="H62" i="19"/>
  <c r="H41" i="19"/>
  <c r="H36" i="19"/>
  <c r="H63" i="19"/>
  <c r="H39" i="19"/>
  <c r="H25" i="19"/>
  <c r="H13" i="19"/>
  <c r="H14" i="19"/>
  <c r="H22" i="19"/>
  <c r="H29" i="19"/>
  <c r="I13" i="14"/>
  <c r="G13" i="14"/>
  <c r="K13" i="14"/>
  <c r="D8" i="19"/>
  <c r="E8" i="19"/>
  <c r="D65" i="15"/>
  <c r="BL65" i="10"/>
  <c r="BL62" i="9"/>
  <c r="AV62" i="9" l="1"/>
  <c r="D53" i="17"/>
  <c r="M13" i="14"/>
  <c r="BL64" i="9"/>
  <c r="BL72" i="10"/>
  <c r="C72" i="10" s="1"/>
  <c r="C73" i="15" s="1"/>
  <c r="D66" i="15"/>
  <c r="AV64" i="9" l="1"/>
  <c r="D63" i="17"/>
  <c r="C62" i="9"/>
  <c r="C63" i="17" s="1"/>
  <c r="E68" i="19"/>
  <c r="H8" i="19"/>
  <c r="BL74" i="10"/>
  <c r="D73" i="15"/>
  <c r="C64" i="9" l="1"/>
  <c r="C74" i="10"/>
  <c r="E52" i="19"/>
  <c r="E83" i="19" s="1"/>
  <c r="D65" i="17"/>
  <c r="D68" i="19"/>
  <c r="D75" i="15"/>
  <c r="C65" i="17" l="1"/>
  <c r="C75" i="15"/>
  <c r="E15" i="14"/>
  <c r="K15" i="14" s="1"/>
  <c r="H52" i="19"/>
  <c r="H68" i="19"/>
  <c r="D83" i="19"/>
  <c r="E14" i="14"/>
  <c r="G15" i="14" l="1"/>
  <c r="I15" i="14"/>
  <c r="K14" i="14"/>
  <c r="K18" i="14" s="1"/>
  <c r="I14" i="14"/>
  <c r="G14" i="14"/>
  <c r="G18" i="14" s="1"/>
  <c r="E18" i="14"/>
  <c r="H83" i="19"/>
  <c r="I18" i="14" l="1"/>
  <c r="M15" i="14"/>
  <c r="M14" i="14"/>
  <c r="M1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C1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Steuerfuss aller Gemeinden
Berechnung (Effektiver Nettoertrag aller Gemeinden / Einfache Steuer aller Gemeinden) - siehe auch Art. 6 Abs. 1 VV FAG</t>
        </r>
      </text>
    </comment>
    <comment ref="BH1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Steuerfuss der Gemeinden Oberhelfenschwil, Neckertal und Hemberg
Effektiver Nettoertrag / Einfache Steuer Netto</t>
        </r>
      </text>
    </comment>
    <comment ref="C35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Steuersatz aller Gemeinden</t>
        </r>
      </text>
    </comment>
    <comment ref="BH64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Steuerfuss der Gemeinden Oberhelfenschwil, Neckertal und Hemberg
Effektiver Nettoertrag / Einfache Steuer Netto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60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Massgebend ist der Mittelwert analog Ressourcenausgleich! Gemäss Rücksprache mit Bruno Schaible vom 6. August 2020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47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Massgebend ist der Mittelwert analog Ressourcenausgleich! Gemäss Rücksprache mit Bruno Schaible vom 6. August 2020</t>
        </r>
      </text>
    </comment>
  </commentList>
</comments>
</file>

<file path=xl/sharedStrings.xml><?xml version="1.0" encoding="utf-8"?>
<sst xmlns="http://schemas.openxmlformats.org/spreadsheetml/2006/main" count="884" uniqueCount="243">
  <si>
    <t>Quellensteuer</t>
  </si>
  <si>
    <t>Gewinn- und Kapitalsteuer</t>
  </si>
  <si>
    <t>Handänderungssteuer</t>
  </si>
  <si>
    <t>Grundstückgewinnsteuer</t>
  </si>
  <si>
    <t>Einkommens-/Vermögenssteuer</t>
  </si>
  <si>
    <t>St.Gallen</t>
  </si>
  <si>
    <t>Wittenbach</t>
  </si>
  <si>
    <t>Häggenschwil</t>
  </si>
  <si>
    <t>Muolen</t>
  </si>
  <si>
    <t>Mörschwil</t>
  </si>
  <si>
    <t>Goldach</t>
  </si>
  <si>
    <t>Steinach</t>
  </si>
  <si>
    <t>Berg</t>
  </si>
  <si>
    <t>Tübach</t>
  </si>
  <si>
    <t>Untereggen</t>
  </si>
  <si>
    <t>Eggersriet</t>
  </si>
  <si>
    <t>Rorschacherberg</t>
  </si>
  <si>
    <t>Rorschach</t>
  </si>
  <si>
    <t>Thal</t>
  </si>
  <si>
    <t>Rheineck</t>
  </si>
  <si>
    <t>St.Margrethen</t>
  </si>
  <si>
    <t>Au</t>
  </si>
  <si>
    <t>Berneck</t>
  </si>
  <si>
    <t>Balgach</t>
  </si>
  <si>
    <t>Diepoldsau</t>
  </si>
  <si>
    <t>Widnau</t>
  </si>
  <si>
    <t>Rebstein</t>
  </si>
  <si>
    <t>Marbach</t>
  </si>
  <si>
    <t>Altstätten</t>
  </si>
  <si>
    <t>Eichberg</t>
  </si>
  <si>
    <t>Oberriet</t>
  </si>
  <si>
    <t>Rüthi</t>
  </si>
  <si>
    <t>Sennwald</t>
  </si>
  <si>
    <t>Gams</t>
  </si>
  <si>
    <t>Grabs</t>
  </si>
  <si>
    <t>Buchs</t>
  </si>
  <si>
    <t>Sevelen</t>
  </si>
  <si>
    <t>Wartau</t>
  </si>
  <si>
    <t>Sargans</t>
  </si>
  <si>
    <t>Vilters-Wangs</t>
  </si>
  <si>
    <t>Bad Ragaz</t>
  </si>
  <si>
    <t>Pfäfers</t>
  </si>
  <si>
    <t>Mels</t>
  </si>
  <si>
    <t>Flums</t>
  </si>
  <si>
    <t>Walenstadt</t>
  </si>
  <si>
    <t>Quarten</t>
  </si>
  <si>
    <t>Amden</t>
  </si>
  <si>
    <t>Weesen</t>
  </si>
  <si>
    <t>Schänis</t>
  </si>
  <si>
    <t>Benken</t>
  </si>
  <si>
    <t>Kaltbrunn</t>
  </si>
  <si>
    <t>Gommiswald</t>
  </si>
  <si>
    <t>Uznach</t>
  </si>
  <si>
    <t>Schmerikon</t>
  </si>
  <si>
    <t>Rapperswil-Jona</t>
  </si>
  <si>
    <t>Eschenbach</t>
  </si>
  <si>
    <t>Wildhaus-Alt St.Johann</t>
  </si>
  <si>
    <t>Nesslau</t>
  </si>
  <si>
    <t>Ebnat-Kappel</t>
  </si>
  <si>
    <t>Wattwil</t>
  </si>
  <si>
    <t>Lichtensteig</t>
  </si>
  <si>
    <t>Bütschwil-Ganterschwil</t>
  </si>
  <si>
    <t>Lütisburg</t>
  </si>
  <si>
    <t>Mosnang</t>
  </si>
  <si>
    <t>Kirchberg</t>
  </si>
  <si>
    <t>Jonschwil</t>
  </si>
  <si>
    <t>Oberuzwil</t>
  </si>
  <si>
    <t>Uzwil</t>
  </si>
  <si>
    <t>Flawil</t>
  </si>
  <si>
    <t>Degersheim</t>
  </si>
  <si>
    <t>Wil</t>
  </si>
  <si>
    <t>Zuzwil</t>
  </si>
  <si>
    <t>Oberbüren</t>
  </si>
  <si>
    <t>Niederbüren</t>
  </si>
  <si>
    <t>Niederhelfenschwil</t>
  </si>
  <si>
    <t>Gossau</t>
  </si>
  <si>
    <t>Andwil</t>
  </si>
  <si>
    <t>Waldkirch</t>
  </si>
  <si>
    <t>Gaiserwald</t>
  </si>
  <si>
    <t>Total</t>
  </si>
  <si>
    <t>Einwohnerzahl per 31.12.</t>
  </si>
  <si>
    <t>Bruttoertrag</t>
  </si>
  <si>
    <t>Erlasse/Verluste</t>
  </si>
  <si>
    <t>Nettoertrag</t>
  </si>
  <si>
    <t>Grundsteuer (ord. Satz)</t>
  </si>
  <si>
    <t>Grundsteuer (Spezialsatz)</t>
  </si>
  <si>
    <t>Abschreibungen</t>
  </si>
  <si>
    <t>pauschale Steueranrechnung</t>
  </si>
  <si>
    <t>Steuerfuss</t>
  </si>
  <si>
    <t>Standardisierter Ertrag</t>
  </si>
  <si>
    <t>Nettoertrag (standardisierter Ertrag)</t>
  </si>
  <si>
    <t>Steuersatz in ‰</t>
  </si>
  <si>
    <t>Ertrag bei Satz von 1‰</t>
  </si>
  <si>
    <t>Berechnung der technischen Steuerkraft</t>
  </si>
  <si>
    <t>Einfache Steuer Brutto</t>
  </si>
  <si>
    <t>Einfache Steuer Netto</t>
  </si>
  <si>
    <t>Effektiver Nettoertrag</t>
  </si>
  <si>
    <t>1.)</t>
  </si>
  <si>
    <t>2.)</t>
  </si>
  <si>
    <t>3.)</t>
  </si>
  <si>
    <t>Berechnung Ressourcenausgleichsbeitrag</t>
  </si>
  <si>
    <t>4.)</t>
  </si>
  <si>
    <t>Ausgleichsfaktor</t>
  </si>
  <si>
    <t>Ressourcenausgleichsbeitrag</t>
  </si>
  <si>
    <t>Technische Steuerkraft pro Einwohner</t>
  </si>
  <si>
    <t>Eingabefelder</t>
  </si>
  <si>
    <t>Quelle</t>
  </si>
  <si>
    <t>KStA</t>
  </si>
  <si>
    <t>Gemeinden</t>
  </si>
  <si>
    <t>KStA/Gemeinden</t>
  </si>
  <si>
    <t>Bundesamt für Statistik</t>
  </si>
  <si>
    <t>Beschluss Kantonsrat</t>
  </si>
  <si>
    <t>Berechnung SL Stadt St.Gallen</t>
  </si>
  <si>
    <t>Ausgleichsbeitrag gemäss Art. 25 Abs. 1 FAG</t>
  </si>
  <si>
    <t>zusätzlicher Ausgleichsbeitrag gemäss Art. 25 Abs. 2 FAG</t>
  </si>
  <si>
    <t>(Dezember 2005 = 100)</t>
  </si>
  <si>
    <t>Indexstand Juni 2007 (Basis)</t>
  </si>
  <si>
    <t>Allgemeine Daten</t>
  </si>
  <si>
    <t>BLD-Sozialindex per 31.12.</t>
  </si>
  <si>
    <t>GFS</t>
  </si>
  <si>
    <t>BLD</t>
  </si>
  <si>
    <t>Fachstelle für Statistik</t>
  </si>
  <si>
    <t>Berechnung Sonderlastenausgleich Schule</t>
  </si>
  <si>
    <t>Sonderlasten Sonderschule</t>
  </si>
  <si>
    <t>Sonderschüler je Einwohner</t>
  </si>
  <si>
    <t>Pauschalbeitrag je Schüler in der Sonderschule</t>
  </si>
  <si>
    <t>Beitragssatz Sonderschule</t>
  </si>
  <si>
    <t>Sonder-/Minderlasten Volksschule</t>
  </si>
  <si>
    <t>2.1)</t>
  </si>
  <si>
    <t>2.2)</t>
  </si>
  <si>
    <t>Beitragssatz Volksschule bei überdurchschnittlicher Belastung</t>
  </si>
  <si>
    <t>Beitragssatz Volksschule bei unterdurchschnittlicher Belastung</t>
  </si>
  <si>
    <t>Volksschüler je Einwohner</t>
  </si>
  <si>
    <t>reduzierter BLD-Sozialindex per 31.12.</t>
  </si>
  <si>
    <t>Kantonaler Durchschnitt Kosten je Schüler</t>
  </si>
  <si>
    <t>Sonder-/Minderlasten Volksschule (vor allfälliger Kürzung)</t>
  </si>
  <si>
    <t>Sonderlasten Sonderschule (vor allfälliger Kürzung)</t>
  </si>
  <si>
    <t>2.3)</t>
  </si>
  <si>
    <t>Sonderlastenausgleich Schule (vor allfälliger Kürzung)</t>
  </si>
  <si>
    <t>Kürzung infolge hoher technischer Steuerkraft</t>
  </si>
  <si>
    <t>in %</t>
  </si>
  <si>
    <t>Technische Steuerkraft in % zum kantonalen Durchschnitt</t>
  </si>
  <si>
    <t>Kürzungsfaktor in %</t>
  </si>
  <si>
    <t>2.4)</t>
  </si>
  <si>
    <t>Zusammenfassung</t>
  </si>
  <si>
    <t>Beitrag Sonderlastenausgleich Schule</t>
  </si>
  <si>
    <t>Kürzung in Fr.</t>
  </si>
  <si>
    <t>1.1)</t>
  </si>
  <si>
    <t>1.2)</t>
  </si>
  <si>
    <t>1.3)</t>
  </si>
  <si>
    <t>1.4)</t>
  </si>
  <si>
    <t>1.5)</t>
  </si>
  <si>
    <t>1.6)</t>
  </si>
  <si>
    <t>1.7)</t>
  </si>
  <si>
    <t>2.5)</t>
  </si>
  <si>
    <t>2.6)</t>
  </si>
  <si>
    <t>2.7)</t>
  </si>
  <si>
    <t>3.1)</t>
  </si>
  <si>
    <t>3.2)</t>
  </si>
  <si>
    <t>3.3)</t>
  </si>
  <si>
    <t>gewichtete Strassenlänge in km per 31.12.</t>
  </si>
  <si>
    <t>Streuung des Siedlungsgebiets</t>
  </si>
  <si>
    <t>Berechnung Sonderlastenausgleich Weite</t>
  </si>
  <si>
    <t>Länge des Strassennetzes</t>
  </si>
  <si>
    <t>Wohnbevölkerung mit Wohnsitz über 800 Metern über Meer</t>
  </si>
  <si>
    <t>geringe Einwohnerdichte</t>
  </si>
  <si>
    <t xml:space="preserve">gewichtete Strassenlänge in km pro Einwohner </t>
  </si>
  <si>
    <t>Anteil an Gesamtbevölkerung</t>
  </si>
  <si>
    <t>Gemeindefläche je Einwohner</t>
  </si>
  <si>
    <t>Pauschalbeitrag je gewichtetem Kilometer</t>
  </si>
  <si>
    <t>Beitrag je Einwohner</t>
  </si>
  <si>
    <t>Sonderlast total</t>
  </si>
  <si>
    <t>Pauschalbeitrag je Einwohner</t>
  </si>
  <si>
    <t>Pauschalbeitrag je ha je Einwohner</t>
  </si>
  <si>
    <t>Sonderlastenausgleich Weite (vor allfälliger Kürzung)</t>
  </si>
  <si>
    <t>Korrekturwert</t>
  </si>
  <si>
    <t>Korrekturwert je Einwohner für mittlere Belastung</t>
  </si>
  <si>
    <t>Minderlast total</t>
  </si>
  <si>
    <t>Beitrag Sonderlastenausgleich Weite</t>
  </si>
  <si>
    <t>BD</t>
  </si>
  <si>
    <t>FAG</t>
  </si>
  <si>
    <t>Berechnung Soziodemographischer Sonderlastenausgleich</t>
  </si>
  <si>
    <t>Sonderlasten Familie und Jugend</t>
  </si>
  <si>
    <t>Sonder-/Minderlasten Sozialhilfe</t>
  </si>
  <si>
    <t>Sonder-/Minderlasten Stationäre Pflege</t>
  </si>
  <si>
    <t>Beitragssatz bei überdurchschnittlicher Belastung</t>
  </si>
  <si>
    <t>Beitragssatz bei unterdurchschnittlicher Belastung</t>
  </si>
  <si>
    <t>Nettoaufwand Familie und Jugend pro Einwohner</t>
  </si>
  <si>
    <t>Nettoaufwand Finanzielle Sozialhilfe pro Einwohner</t>
  </si>
  <si>
    <t>Nettoaufwand Stationäre Pflege</t>
  </si>
  <si>
    <t>Nettoaufwand Stationäre Pflege pro Einwohner</t>
  </si>
  <si>
    <t>Nettoaufwand Finanzielle Sozialhilfe (Funktion 572)</t>
  </si>
  <si>
    <t>Beitrag Soziodemographischer Sonderlastenausgleich</t>
  </si>
  <si>
    <t>Beitrag Sonderlastenausgleich Stadt St.Gallen</t>
  </si>
  <si>
    <t>Kanton St.Gallen</t>
  </si>
  <si>
    <t>Amt für Gemeinden und Bürgerrecht</t>
  </si>
  <si>
    <t>Politische Gemeinde:</t>
  </si>
  <si>
    <t>Ressourcenausgleich</t>
  </si>
  <si>
    <t>Sonderlastenausgleich Weite</t>
  </si>
  <si>
    <t>Sonderlastenausgleich Schule</t>
  </si>
  <si>
    <t>Soziodemographischer Sonderlastenausgleich</t>
  </si>
  <si>
    <t>Sonderlastenausgleich Stadt</t>
  </si>
  <si>
    <t>bitte Gemeinde auswählen</t>
  </si>
  <si>
    <t>für die Berechnung relevante Basisdaten</t>
  </si>
  <si>
    <t>Nettoaufwand Familie und Jugend (Funktion 54)</t>
  </si>
  <si>
    <t>Total provisorische Finanzausgleichsbeiträge</t>
  </si>
  <si>
    <t>Details</t>
  </si>
  <si>
    <t>Ressourcen-ausgleich</t>
  </si>
  <si>
    <t>Sonderlasten-ausgleich Weite</t>
  </si>
  <si>
    <t>Soziodemogra-phischer Sonder-lastenausgleich</t>
  </si>
  <si>
    <t>Sonderlasten-ausgleich Schule</t>
  </si>
  <si>
    <t>Sonderlasten-ausgleich Stadt St.Gallen</t>
  </si>
  <si>
    <t>Nr.</t>
  </si>
  <si>
    <t>Gemeinde</t>
  </si>
  <si>
    <t>Nettoaufwand Obligatorische Schule (Funktion 21)</t>
  </si>
  <si>
    <t>Nettoaufwand Schulrat in Einheitsgemeinden (Funktion 0121)</t>
  </si>
  <si>
    <t>Nettoaufwand Schulgesundheitsdienst in EHG (Funktion 433)</t>
  </si>
  <si>
    <t>Gemeindefläche in ha per 31.12.</t>
  </si>
  <si>
    <t>Streuung des Siedlungsgebiets per 31.12.</t>
  </si>
  <si>
    <t>Einwohner über 800m per 31.12.</t>
  </si>
  <si>
    <t>Zusammensetzung und Raten</t>
  </si>
  <si>
    <t>Ausgleichsgefäss</t>
  </si>
  <si>
    <t>1. Rate (15. März)</t>
  </si>
  <si>
    <t>2. Rate (15. Juni)</t>
  </si>
  <si>
    <t>3. Rate (15. Sept.)</t>
  </si>
  <si>
    <t>4. Rate (15. Dez.)</t>
  </si>
  <si>
    <t>Technische Steuerkraft 2021</t>
  </si>
  <si>
    <t>Steuerdaten 2021</t>
  </si>
  <si>
    <t>DfIF</t>
  </si>
  <si>
    <t>Ressourcenausgleich 2024</t>
  </si>
  <si>
    <t>Technische Steuerkraft 2022</t>
  </si>
  <si>
    <t>Mittelwert technische Steuerkraft 2021/2022</t>
  </si>
  <si>
    <t>Steuerdaten 2022</t>
  </si>
  <si>
    <t>Neckertal</t>
  </si>
  <si>
    <t>Sonderlastenausgleich Weite 2024</t>
  </si>
  <si>
    <t>Sonderlastenausgleich Schule 2024</t>
  </si>
  <si>
    <t>Schülerzahlen Volksschule per 31.12.2022</t>
  </si>
  <si>
    <t>Schülerzahlen Sonderschule per 31.12.2022</t>
  </si>
  <si>
    <t>Soziodemographischer Sonderlastenausgleich 2024</t>
  </si>
  <si>
    <t>Sonderlastenausgleich Stadt St.Gallen 2024</t>
  </si>
  <si>
    <t>Indexstand Juni 2023</t>
  </si>
  <si>
    <t>Finanzausgleich 2024 / definitive Beiträge</t>
  </si>
  <si>
    <t>Definitive Finanzausgleichsbeiträge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</si>
</sst>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#,##0.00_ ;\-#,##0.00\ "/>
    <numFmt numFmtId="165" formatCode="0.0000%"/>
    <numFmt numFmtId="166" formatCode="#,##0.0000"/>
    <numFmt numFmtId="167" formatCode="#,##0_ ;[Red]\-#,##0\ "/>
    <numFmt numFmtId="168" formatCode="#,##0.00000000"/>
    <numFmt numFmtId="169" formatCode="#,##0.000000000"/>
    <numFmt numFmtId="170" formatCode="#,##0.000"/>
    <numFmt numFmtId="171" formatCode="#,##0.000000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i/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4" fillId="0" borderId="0" applyNumberFormat="0" applyFill="0" applyBorder="0" applyAlignment="0" applyProtection="0"/>
    <xf numFmtId="0" fontId="16" fillId="0" borderId="0">
      <alignment vertical="center"/>
    </xf>
  </cellStyleXfs>
  <cellXfs count="124">
    <xf numFmtId="0" fontId="0" fillId="0" borderId="0" xfId="0"/>
    <xf numFmtId="4" fontId="0" fillId="0" borderId="0" xfId="1" applyNumberFormat="1" applyFont="1" applyFill="1" applyBorder="1"/>
    <xf numFmtId="43" fontId="0" fillId="0" borderId="0" xfId="1" applyFont="1" applyFill="1" applyBorder="1"/>
    <xf numFmtId="4" fontId="0" fillId="0" borderId="0" xfId="0" applyNumberFormat="1"/>
    <xf numFmtId="9" fontId="0" fillId="0" borderId="0" xfId="0" applyNumberFormat="1"/>
    <xf numFmtId="0" fontId="8" fillId="4" borderId="0" xfId="0" applyFont="1" applyFill="1"/>
    <xf numFmtId="43" fontId="8" fillId="4" borderId="0" xfId="1" applyFont="1" applyFill="1" applyBorder="1"/>
    <xf numFmtId="4" fontId="0" fillId="3" borderId="0" xfId="1" applyNumberFormat="1" applyFont="1" applyFill="1" applyBorder="1"/>
    <xf numFmtId="9" fontId="0" fillId="3" borderId="0" xfId="0" applyNumberFormat="1" applyFill="1"/>
    <xf numFmtId="9" fontId="0" fillId="3" borderId="0" xfId="1" applyNumberFormat="1" applyFont="1" applyFill="1" applyBorder="1"/>
    <xf numFmtId="4" fontId="0" fillId="3" borderId="0" xfId="0" applyNumberFormat="1" applyFill="1"/>
    <xf numFmtId="4" fontId="0" fillId="2" borderId="0" xfId="0" applyNumberFormat="1" applyFill="1"/>
    <xf numFmtId="4" fontId="0" fillId="2" borderId="0" xfId="1" applyNumberFormat="1" applyFont="1" applyFill="1" applyBorder="1"/>
    <xf numFmtId="4" fontId="2" fillId="0" borderId="0" xfId="0" applyNumberFormat="1" applyFont="1"/>
    <xf numFmtId="4" fontId="2" fillId="2" borderId="0" xfId="0" applyNumberFormat="1" applyFont="1" applyFill="1"/>
    <xf numFmtId="4" fontId="2" fillId="2" borderId="0" xfId="1" applyNumberFormat="1" applyFont="1" applyFill="1" applyBorder="1"/>
    <xf numFmtId="0" fontId="3" fillId="0" borderId="0" xfId="0" applyFont="1"/>
    <xf numFmtId="167" fontId="0" fillId="0" borderId="0" xfId="0" applyNumberFormat="1"/>
    <xf numFmtId="0" fontId="0" fillId="3" borderId="0" xfId="0" applyFill="1"/>
    <xf numFmtId="0" fontId="2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9" fillId="2" borderId="0" xfId="0" applyFont="1" applyFill="1"/>
    <xf numFmtId="0" fontId="2" fillId="2" borderId="0" xfId="0" applyFont="1" applyFill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9" fillId="0" borderId="0" xfId="0" applyFont="1"/>
    <xf numFmtId="166" fontId="0" fillId="0" borderId="0" xfId="0" applyNumberFormat="1"/>
    <xf numFmtId="0" fontId="4" fillId="0" borderId="0" xfId="0" applyFont="1"/>
    <xf numFmtId="164" fontId="0" fillId="3" borderId="0" xfId="1" applyNumberFormat="1" applyFont="1" applyFill="1" applyBorder="1"/>
    <xf numFmtId="164" fontId="2" fillId="0" borderId="0" xfId="0" applyNumberFormat="1" applyFont="1"/>
    <xf numFmtId="165" fontId="0" fillId="0" borderId="0" xfId="0" applyNumberFormat="1"/>
    <xf numFmtId="4" fontId="7" fillId="4" borderId="0" xfId="0" applyNumberFormat="1" applyFont="1" applyFill="1"/>
    <xf numFmtId="3" fontId="0" fillId="0" borderId="0" xfId="0" applyNumberFormat="1"/>
    <xf numFmtId="3" fontId="0" fillId="3" borderId="0" xfId="0" applyNumberFormat="1" applyFill="1"/>
    <xf numFmtId="3" fontId="2" fillId="0" borderId="0" xfId="0" applyNumberFormat="1" applyFont="1"/>
    <xf numFmtId="0" fontId="2" fillId="5" borderId="0" xfId="0" applyFont="1" applyFill="1"/>
    <xf numFmtId="4" fontId="2" fillId="5" borderId="0" xfId="0" applyNumberFormat="1" applyFont="1" applyFill="1"/>
    <xf numFmtId="0" fontId="8" fillId="0" borderId="0" xfId="0" applyFont="1"/>
    <xf numFmtId="0" fontId="7" fillId="0" borderId="0" xfId="0" applyFont="1"/>
    <xf numFmtId="0" fontId="0" fillId="5" borderId="0" xfId="0" applyFill="1"/>
    <xf numFmtId="3" fontId="0" fillId="0" borderId="0" xfId="0" applyNumberFormat="1" applyAlignment="1">
      <alignment horizontal="right"/>
    </xf>
    <xf numFmtId="0" fontId="2" fillId="6" borderId="0" xfId="0" applyFont="1" applyFill="1"/>
    <xf numFmtId="4" fontId="2" fillId="6" borderId="0" xfId="0" applyNumberFormat="1" applyFont="1" applyFill="1"/>
    <xf numFmtId="0" fontId="0" fillId="6" borderId="0" xfId="0" applyFill="1"/>
    <xf numFmtId="168" fontId="0" fillId="0" borderId="0" xfId="0" applyNumberFormat="1"/>
    <xf numFmtId="169" fontId="0" fillId="0" borderId="0" xfId="0" applyNumberFormat="1"/>
    <xf numFmtId="10" fontId="0" fillId="0" borderId="0" xfId="0" applyNumberFormat="1"/>
    <xf numFmtId="4" fontId="0" fillId="6" borderId="0" xfId="0" applyNumberFormat="1" applyFill="1"/>
    <xf numFmtId="0" fontId="7" fillId="7" borderId="0" xfId="0" applyFont="1" applyFill="1"/>
    <xf numFmtId="4" fontId="7" fillId="7" borderId="0" xfId="0" applyNumberFormat="1" applyFont="1" applyFill="1"/>
    <xf numFmtId="2" fontId="1" fillId="3" borderId="0" xfId="2" applyNumberFormat="1" applyFont="1" applyFill="1"/>
    <xf numFmtId="4" fontId="0" fillId="0" borderId="0" xfId="0" applyNumberFormat="1" applyAlignment="1">
      <alignment horizontal="right"/>
    </xf>
    <xf numFmtId="170" fontId="0" fillId="3" borderId="0" xfId="0" applyNumberFormat="1" applyFill="1"/>
    <xf numFmtId="0" fontId="0" fillId="0" borderId="0" xfId="0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>
      <alignment vertical="center"/>
    </xf>
    <xf numFmtId="4" fontId="0" fillId="3" borderId="0" xfId="0" applyNumberFormat="1" applyFill="1" applyAlignment="1">
      <alignment horizontal="right"/>
    </xf>
    <xf numFmtId="164" fontId="0" fillId="0" borderId="0" xfId="1" applyNumberFormat="1" applyFont="1" applyFill="1" applyBorder="1"/>
    <xf numFmtId="10" fontId="0" fillId="0" borderId="0" xfId="0" applyNumberFormat="1" applyAlignment="1">
      <alignment horizontal="right"/>
    </xf>
    <xf numFmtId="3" fontId="0" fillId="3" borderId="0" xfId="0" applyNumberFormat="1" applyFill="1" applyAlignment="1">
      <alignment horizontal="right"/>
    </xf>
    <xf numFmtId="9" fontId="0" fillId="3" borderId="0" xfId="0" applyNumberFormat="1" applyFill="1" applyAlignment="1">
      <alignment horizontal="right"/>
    </xf>
    <xf numFmtId="0" fontId="15" fillId="0" borderId="0" xfId="0" applyFont="1" applyAlignment="1" applyProtection="1">
      <alignment vertical="center"/>
      <protection hidden="1"/>
    </xf>
    <xf numFmtId="0" fontId="14" fillId="0" borderId="0" xfId="3" applyAlignment="1">
      <alignment horizontal="left" vertical="center"/>
    </xf>
    <xf numFmtId="1" fontId="16" fillId="0" borderId="1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3" fontId="0" fillId="0" borderId="7" xfId="0" applyNumberFormat="1" applyBorder="1"/>
    <xf numFmtId="0" fontId="0" fillId="0" borderId="9" xfId="0" applyBorder="1"/>
    <xf numFmtId="3" fontId="2" fillId="0" borderId="10" xfId="0" applyNumberFormat="1" applyFont="1" applyBorder="1"/>
    <xf numFmtId="0" fontId="2" fillId="0" borderId="9" xfId="0" applyFont="1" applyBorder="1" applyAlignment="1">
      <alignment vertical="top"/>
    </xf>
    <xf numFmtId="4" fontId="2" fillId="0" borderId="10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3" fontId="0" fillId="0" borderId="11" xfId="0" applyNumberFormat="1" applyBorder="1"/>
    <xf numFmtId="3" fontId="0" fillId="0" borderId="12" xfId="0" applyNumberFormat="1" applyBorder="1"/>
    <xf numFmtId="3" fontId="2" fillId="0" borderId="3" xfId="0" applyNumberFormat="1" applyFont="1" applyBorder="1"/>
    <xf numFmtId="0" fontId="2" fillId="0" borderId="3" xfId="0" applyFont="1" applyBorder="1" applyAlignment="1">
      <alignment vertical="top"/>
    </xf>
    <xf numFmtId="0" fontId="0" fillId="0" borderId="12" xfId="0" applyBorder="1"/>
    <xf numFmtId="3" fontId="2" fillId="0" borderId="13" xfId="0" applyNumberFormat="1" applyFont="1" applyBorder="1"/>
    <xf numFmtId="3" fontId="0" fillId="0" borderId="4" xfId="0" applyNumberFormat="1" applyBorder="1"/>
    <xf numFmtId="0" fontId="0" fillId="0" borderId="13" xfId="0" applyBorder="1"/>
    <xf numFmtId="0" fontId="0" fillId="0" borderId="11" xfId="0" applyBorder="1"/>
    <xf numFmtId="0" fontId="2" fillId="0" borderId="3" xfId="0" applyFont="1" applyBorder="1"/>
    <xf numFmtId="3" fontId="0" fillId="0" borderId="13" xfId="0" applyNumberForma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0" fontId="2" fillId="9" borderId="0" xfId="0" applyFont="1" applyFill="1"/>
    <xf numFmtId="4" fontId="2" fillId="9" borderId="0" xfId="0" applyNumberFormat="1" applyFont="1" applyFill="1"/>
    <xf numFmtId="171" fontId="2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Protection="1">
      <protection hidden="1"/>
    </xf>
    <xf numFmtId="0" fontId="11" fillId="5" borderId="6" xfId="0" applyFont="1" applyFill="1" applyBorder="1" applyAlignment="1" applyProtection="1">
      <alignment vertical="center"/>
      <protection hidden="1"/>
    </xf>
    <xf numFmtId="0" fontId="11" fillId="5" borderId="7" xfId="0" applyFont="1" applyFill="1" applyBorder="1" applyAlignment="1" applyProtection="1">
      <alignment vertical="center"/>
      <protection hidden="1"/>
    </xf>
    <xf numFmtId="0" fontId="11" fillId="5" borderId="10" xfId="0" applyFont="1" applyFill="1" applyBorder="1" applyAlignment="1" applyProtection="1">
      <alignment vertical="center"/>
      <protection hidden="1"/>
    </xf>
    <xf numFmtId="4" fontId="11" fillId="5" borderId="10" xfId="0" applyNumberFormat="1" applyFont="1" applyFill="1" applyBorder="1" applyAlignment="1" applyProtection="1">
      <alignment vertical="center"/>
      <protection hidden="1"/>
    </xf>
    <xf numFmtId="4" fontId="11" fillId="5" borderId="14" xfId="0" applyNumberFormat="1" applyFont="1" applyFill="1" applyBorder="1" applyAlignment="1" applyProtection="1">
      <alignment vertical="center"/>
      <protection hidden="1"/>
    </xf>
    <xf numFmtId="0" fontId="0" fillId="0" borderId="9" xfId="0" applyBorder="1" applyAlignment="1">
      <alignment vertical="center"/>
    </xf>
    <xf numFmtId="0" fontId="0" fillId="0" borderId="10" xfId="0" applyBorder="1" applyAlignment="1" applyProtection="1">
      <alignment vertical="center"/>
      <protection hidden="1"/>
    </xf>
    <xf numFmtId="0" fontId="11" fillId="5" borderId="9" xfId="0" applyFont="1" applyFill="1" applyBorder="1" applyAlignment="1" applyProtection="1">
      <alignment vertical="center"/>
      <protection hidden="1"/>
    </xf>
    <xf numFmtId="4" fontId="11" fillId="5" borderId="9" xfId="0" applyNumberFormat="1" applyFont="1" applyFill="1" applyBorder="1" applyAlignment="1" applyProtection="1">
      <alignment vertical="center"/>
      <protection hidden="1"/>
    </xf>
    <xf numFmtId="4" fontId="11" fillId="5" borderId="8" xfId="0" applyNumberFormat="1" applyFont="1" applyFill="1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4" fontId="0" fillId="0" borderId="14" xfId="0" applyNumberFormat="1" applyBorder="1" applyAlignment="1" applyProtection="1">
      <alignment vertical="center"/>
      <protection hidden="1"/>
    </xf>
    <xf numFmtId="4" fontId="0" fillId="0" borderId="10" xfId="0" applyNumberFormat="1" applyBorder="1" applyAlignment="1" applyProtection="1">
      <alignment vertical="center"/>
      <protection hidden="1"/>
    </xf>
    <xf numFmtId="4" fontId="0" fillId="0" borderId="9" xfId="0" applyNumberForma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horizontal="right" vertical="center"/>
      <protection hidden="1"/>
    </xf>
    <xf numFmtId="0" fontId="11" fillId="0" borderId="4" xfId="0" applyFont="1" applyBorder="1" applyAlignment="1" applyProtection="1">
      <alignment horizontal="right" vertical="center"/>
      <protection hidden="1"/>
    </xf>
    <xf numFmtId="0" fontId="11" fillId="0" borderId="1" xfId="0" applyFont="1" applyBorder="1" applyAlignment="1" applyProtection="1">
      <alignment horizontal="right" vertical="center"/>
      <protection hidden="1"/>
    </xf>
    <xf numFmtId="0" fontId="17" fillId="0" borderId="14" xfId="3" applyFont="1" applyBorder="1" applyAlignment="1" applyProtection="1">
      <alignment horizontal="left" vertical="center"/>
      <protection locked="0"/>
    </xf>
    <xf numFmtId="3" fontId="0" fillId="0" borderId="1" xfId="0" applyNumberFormat="1" applyBorder="1"/>
    <xf numFmtId="3" fontId="0" fillId="0" borderId="2" xfId="0" applyNumberFormat="1" applyBorder="1"/>
    <xf numFmtId="3" fontId="0" fillId="0" borderId="6" xfId="0" applyNumberFormat="1" applyBorder="1"/>
    <xf numFmtId="4" fontId="2" fillId="0" borderId="13" xfId="0" applyNumberFormat="1" applyFont="1" applyBorder="1" applyAlignment="1">
      <alignment horizontal="right" vertical="top" wrapText="1"/>
    </xf>
    <xf numFmtId="3" fontId="0" fillId="10" borderId="0" xfId="0" applyNumberFormat="1" applyFill="1"/>
    <xf numFmtId="4" fontId="0" fillId="10" borderId="0" xfId="0" applyNumberFormat="1" applyFill="1"/>
    <xf numFmtId="0" fontId="12" fillId="8" borderId="0" xfId="0" applyFont="1" applyFill="1" applyAlignment="1" applyProtection="1">
      <alignment vertical="center"/>
      <protection locked="0" hidden="1"/>
    </xf>
    <xf numFmtId="0" fontId="0" fillId="0" borderId="0" xfId="0" applyAlignment="1" applyProtection="1">
      <alignment vertical="center"/>
      <protection locked="0"/>
    </xf>
  </cellXfs>
  <cellStyles count="5">
    <cellStyle name="Komma" xfId="1" builtinId="3"/>
    <cellStyle name="Link" xfId="3" builtinId="8"/>
    <cellStyle name="ST2 2" xfId="4" xr:uid="{00000000-0005-0000-0000-000002000000}"/>
    <cellStyle name="Standard" xfId="0" builtinId="0"/>
    <cellStyle name="Standard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1531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1531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460131</xdr:colOff>
      <xdr:row>0</xdr:row>
      <xdr:rowOff>62278</xdr:rowOff>
    </xdr:from>
    <xdr:to>
      <xdr:col>7</xdr:col>
      <xdr:colOff>927491</xdr:colOff>
      <xdr:row>4</xdr:row>
      <xdr:rowOff>4591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3431" y="62278"/>
          <a:ext cx="467360" cy="5900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0</xdr:row>
      <xdr:rowOff>57150</xdr:rowOff>
    </xdr:from>
    <xdr:to>
      <xdr:col>12</xdr:col>
      <xdr:colOff>1057910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3575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38100</xdr:rowOff>
    </xdr:from>
    <xdr:to>
      <xdr:col>4</xdr:col>
      <xdr:colOff>638810</xdr:colOff>
      <xdr:row>3</xdr:row>
      <xdr:rowOff>141605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38100"/>
          <a:ext cx="467360" cy="5892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B176"/>
  <sheetViews>
    <sheetView zoomScaleNormal="100" workbookViewId="0">
      <pane xSplit="3" ySplit="9" topLeftCell="D10" activePane="bottomRight" state="frozen"/>
      <selection activeCell="B7" sqref="B7:E7"/>
      <selection pane="topRight" activeCell="B7" sqref="B7:E7"/>
      <selection pane="bottomLeft" activeCell="B7" sqref="B7:E7"/>
      <selection pane="bottomRight" activeCell="B7" sqref="B7:E7"/>
    </sheetView>
  </sheetViews>
  <sheetFormatPr baseColWidth="10" defaultRowHeight="12.75" x14ac:dyDescent="0.2"/>
  <cols>
    <col min="1" max="1" width="5.140625" customWidth="1"/>
    <col min="2" max="2" width="42.285156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194</v>
      </c>
    </row>
    <row r="2" spans="1:80" x14ac:dyDescent="0.2">
      <c r="A2" t="s">
        <v>195</v>
      </c>
    </row>
    <row r="5" spans="1:80" ht="26.25" x14ac:dyDescent="0.4">
      <c r="A5" s="16" t="s">
        <v>229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233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232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s="19" customFormat="1" x14ac:dyDescent="0.2">
      <c r="A12" s="23" t="s">
        <v>147</v>
      </c>
      <c r="B12" s="24" t="s">
        <v>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</row>
    <row r="13" spans="1:80" x14ac:dyDescent="0.2">
      <c r="B13" s="26" t="s">
        <v>88</v>
      </c>
      <c r="C13" s="27">
        <f>C19/C17</f>
        <v>1.124303944208243</v>
      </c>
      <c r="D13" s="8">
        <v>1.41</v>
      </c>
      <c r="E13" s="8">
        <v>1.33</v>
      </c>
      <c r="F13" s="8">
        <v>1.1499999999999999</v>
      </c>
      <c r="G13" s="8">
        <v>1.25</v>
      </c>
      <c r="H13" s="8">
        <v>0.7</v>
      </c>
      <c r="I13" s="8">
        <v>0.91</v>
      </c>
      <c r="J13" s="8">
        <v>1.1499999999999999</v>
      </c>
      <c r="K13" s="8">
        <v>1.34</v>
      </c>
      <c r="L13" s="8">
        <v>0.79</v>
      </c>
      <c r="M13" s="8">
        <v>1.19</v>
      </c>
      <c r="N13" s="8">
        <v>1.25</v>
      </c>
      <c r="O13" s="8">
        <v>0.93</v>
      </c>
      <c r="P13" s="8">
        <v>1.29</v>
      </c>
      <c r="Q13" s="8">
        <v>0.89</v>
      </c>
      <c r="R13" s="8">
        <v>1.19</v>
      </c>
      <c r="S13" s="8">
        <v>1.04</v>
      </c>
      <c r="T13" s="8">
        <v>0.87</v>
      </c>
      <c r="U13" s="8">
        <v>0.95</v>
      </c>
      <c r="V13" s="8">
        <v>0.64</v>
      </c>
      <c r="W13" s="8">
        <v>0.81</v>
      </c>
      <c r="X13" s="8">
        <v>0.76</v>
      </c>
      <c r="Y13" s="8">
        <v>1.01</v>
      </c>
      <c r="Z13" s="8">
        <v>1.1200000000000001</v>
      </c>
      <c r="AA13" s="8">
        <v>1.19</v>
      </c>
      <c r="AB13" s="8">
        <v>1.0900000000000001</v>
      </c>
      <c r="AC13" s="8">
        <v>1.02</v>
      </c>
      <c r="AD13" s="8">
        <v>1.19</v>
      </c>
      <c r="AE13" s="8">
        <v>0.83</v>
      </c>
      <c r="AF13" s="8">
        <v>1.25</v>
      </c>
      <c r="AG13" s="8">
        <v>1</v>
      </c>
      <c r="AH13" s="8">
        <v>1.18</v>
      </c>
      <c r="AI13" s="8">
        <v>1.1000000000000001</v>
      </c>
      <c r="AJ13" s="8">
        <v>1.55</v>
      </c>
      <c r="AK13" s="8">
        <v>1.39</v>
      </c>
      <c r="AL13" s="8">
        <v>1.29</v>
      </c>
      <c r="AM13" s="8">
        <v>0.92</v>
      </c>
      <c r="AN13" s="8">
        <v>1.42</v>
      </c>
      <c r="AO13" s="8">
        <v>1.33</v>
      </c>
      <c r="AP13" s="8">
        <v>1.3</v>
      </c>
      <c r="AQ13" s="8">
        <v>1.1499999999999999</v>
      </c>
      <c r="AR13" s="8">
        <v>1.07</v>
      </c>
      <c r="AS13" s="8">
        <v>1.1499999999999999</v>
      </c>
      <c r="AT13" s="8">
        <v>1.1499999999999999</v>
      </c>
      <c r="AU13" s="8">
        <v>1.25</v>
      </c>
      <c r="AV13" s="8">
        <v>1.24</v>
      </c>
      <c r="AW13" s="8">
        <v>1.06</v>
      </c>
      <c r="AX13" s="8">
        <v>1.1299999999999999</v>
      </c>
      <c r="AY13" s="8">
        <v>1.18</v>
      </c>
      <c r="AZ13" s="8">
        <v>1.1599999999999999</v>
      </c>
      <c r="BA13" s="8">
        <v>0.74</v>
      </c>
      <c r="BB13" s="8">
        <v>1.21</v>
      </c>
      <c r="BC13" s="8">
        <v>1.23</v>
      </c>
      <c r="BD13" s="8">
        <v>1.19</v>
      </c>
      <c r="BE13" s="8">
        <v>1.39</v>
      </c>
      <c r="BF13" s="8">
        <v>1.32</v>
      </c>
      <c r="BG13" s="8">
        <v>1.33</v>
      </c>
      <c r="BH13" s="8">
        <v>1.3261831693660522</v>
      </c>
      <c r="BI13" s="8">
        <v>1.19</v>
      </c>
      <c r="BJ13" s="8">
        <v>1.1499999999999999</v>
      </c>
      <c r="BK13" s="8">
        <v>1.33</v>
      </c>
      <c r="BL13" s="8">
        <v>1.2</v>
      </c>
      <c r="BM13" s="8">
        <v>1.22</v>
      </c>
      <c r="BN13" s="8">
        <v>1.22</v>
      </c>
      <c r="BO13" s="8">
        <v>1.27</v>
      </c>
      <c r="BP13" s="8">
        <v>1.27</v>
      </c>
      <c r="BQ13" s="8">
        <v>1.5</v>
      </c>
      <c r="BR13" s="8">
        <v>1.18</v>
      </c>
      <c r="BS13" s="8">
        <v>0.77</v>
      </c>
      <c r="BT13" s="8">
        <v>1</v>
      </c>
      <c r="BU13" s="8">
        <v>1.26</v>
      </c>
      <c r="BV13" s="8">
        <v>1.0900000000000001</v>
      </c>
      <c r="BW13" s="8">
        <v>1.1599999999999999</v>
      </c>
      <c r="BX13" s="8">
        <v>1.18</v>
      </c>
      <c r="BY13" s="8">
        <v>1.22</v>
      </c>
      <c r="BZ13" s="8">
        <v>1.03</v>
      </c>
      <c r="CB13" t="s">
        <v>107</v>
      </c>
    </row>
    <row r="14" spans="1:80" s="19" customFormat="1" x14ac:dyDescent="0.2">
      <c r="A14"/>
      <c r="B14" s="28"/>
    </row>
    <row r="15" spans="1:80" x14ac:dyDescent="0.2">
      <c r="B15" t="s">
        <v>94</v>
      </c>
      <c r="C15" s="3">
        <f>SUM(D15:BZ15)</f>
        <v>1190254487.4200001</v>
      </c>
      <c r="D15" s="10">
        <v>177937259.83999997</v>
      </c>
      <c r="E15" s="10">
        <v>19316359.219999999</v>
      </c>
      <c r="F15" s="10">
        <v>2933025.85</v>
      </c>
      <c r="G15" s="10">
        <v>2420969.8000000003</v>
      </c>
      <c r="H15" s="10">
        <v>18105400.170000002</v>
      </c>
      <c r="I15" s="10">
        <v>23000530.750000004</v>
      </c>
      <c r="J15" s="10">
        <v>7780504.6600000001</v>
      </c>
      <c r="K15" s="10">
        <v>2622808.5199999996</v>
      </c>
      <c r="L15" s="10">
        <v>5025347.17</v>
      </c>
      <c r="M15" s="10">
        <v>2562245.5700000003</v>
      </c>
      <c r="N15" s="10">
        <v>5659882.0500000007</v>
      </c>
      <c r="O15" s="10">
        <v>19553051.91</v>
      </c>
      <c r="P15" s="10">
        <v>15100951.58</v>
      </c>
      <c r="Q15" s="10">
        <v>17747608.219999999</v>
      </c>
      <c r="R15" s="10">
        <v>6117031.9000000004</v>
      </c>
      <c r="S15" s="10">
        <v>9520282.6699999999</v>
      </c>
      <c r="T15" s="10">
        <v>18585672.359999996</v>
      </c>
      <c r="U15" s="10">
        <v>10825368.25</v>
      </c>
      <c r="V15" s="10">
        <v>15928229.700000001</v>
      </c>
      <c r="W15" s="10">
        <v>15193209.33</v>
      </c>
      <c r="X15" s="10">
        <v>23014443.760000002</v>
      </c>
      <c r="Y15" s="10">
        <v>10989105.710000001</v>
      </c>
      <c r="Z15" s="10">
        <v>4653961.4800000004</v>
      </c>
      <c r="AA15" s="10">
        <v>25188027.590000004</v>
      </c>
      <c r="AB15" s="10">
        <v>3113333.02</v>
      </c>
      <c r="AC15" s="10">
        <v>18854452.030000001</v>
      </c>
      <c r="AD15" s="10">
        <v>4536071.3</v>
      </c>
      <c r="AE15" s="10">
        <v>12879517.52</v>
      </c>
      <c r="AF15" s="10">
        <v>7264568.54</v>
      </c>
      <c r="AG15" s="10">
        <v>14869549.199999999</v>
      </c>
      <c r="AH15" s="10">
        <v>27897186.399999999</v>
      </c>
      <c r="AI15" s="10">
        <v>10186535.25</v>
      </c>
      <c r="AJ15" s="10">
        <v>9041280.1900000013</v>
      </c>
      <c r="AK15" s="10">
        <v>12780475.200000001</v>
      </c>
      <c r="AL15" s="10">
        <v>9825335.1199999992</v>
      </c>
      <c r="AM15" s="10">
        <v>16195522.98</v>
      </c>
      <c r="AN15" s="10">
        <v>2766584.7399999998</v>
      </c>
      <c r="AO15" s="10">
        <v>17729053.869999997</v>
      </c>
      <c r="AP15" s="10">
        <v>9324708.1500000004</v>
      </c>
      <c r="AQ15" s="10">
        <v>13199965.960000001</v>
      </c>
      <c r="AR15" s="10">
        <v>6804481.8900000006</v>
      </c>
      <c r="AS15" s="10">
        <v>5438087.6199999992</v>
      </c>
      <c r="AT15" s="10">
        <v>4911445.33</v>
      </c>
      <c r="AU15" s="10">
        <v>7006002.8499999996</v>
      </c>
      <c r="AV15" s="10">
        <v>5760742.54</v>
      </c>
      <c r="AW15" s="10">
        <v>10048842.379999999</v>
      </c>
      <c r="AX15" s="10">
        <v>14524567.75</v>
      </c>
      <c r="AY15" s="10">
        <v>13877854.300000001</v>
      </c>
      <c r="AZ15" s="10">
        <v>10488854.390000001</v>
      </c>
      <c r="BA15" s="10">
        <v>104990520.55000001</v>
      </c>
      <c r="BB15" s="10">
        <v>21794544.07</v>
      </c>
      <c r="BC15" s="10">
        <v>5699928.04</v>
      </c>
      <c r="BD15" s="10">
        <v>6675111.7199999997</v>
      </c>
      <c r="BE15" s="10">
        <v>8961300.7300000004</v>
      </c>
      <c r="BF15" s="10">
        <v>15740197.91</v>
      </c>
      <c r="BG15" s="10">
        <v>4083591.77</v>
      </c>
      <c r="BH15" s="10">
        <v>9688061.6400000006</v>
      </c>
      <c r="BI15" s="10">
        <v>9179914.6000000015</v>
      </c>
      <c r="BJ15" s="10">
        <v>2831818.9899999998</v>
      </c>
      <c r="BK15" s="10">
        <v>4950854.43</v>
      </c>
      <c r="BL15" s="10">
        <v>17377483.23</v>
      </c>
      <c r="BM15" s="10">
        <v>8309001.2599999998</v>
      </c>
      <c r="BN15" s="10">
        <v>13311681.620000001</v>
      </c>
      <c r="BO15" s="10">
        <v>25627360.049999997</v>
      </c>
      <c r="BP15" s="10">
        <v>19299356.140000001</v>
      </c>
      <c r="BQ15" s="10">
        <v>6611803.0999999996</v>
      </c>
      <c r="BR15" s="10">
        <v>60066861.599999994</v>
      </c>
      <c r="BS15" s="10">
        <v>15740229.479999999</v>
      </c>
      <c r="BT15" s="10">
        <v>10446312.780000001</v>
      </c>
      <c r="BU15" s="10">
        <v>3261879.29</v>
      </c>
      <c r="BV15" s="10">
        <v>7303242.4899999993</v>
      </c>
      <c r="BW15" s="10">
        <v>42135075.229999997</v>
      </c>
      <c r="BX15" s="10">
        <v>5251622.49</v>
      </c>
      <c r="BY15" s="10">
        <v>7779613.1500000004</v>
      </c>
      <c r="BZ15" s="10">
        <v>24030824.48</v>
      </c>
      <c r="CB15" t="s">
        <v>107</v>
      </c>
    </row>
    <row r="16" spans="1:80" x14ac:dyDescent="0.2">
      <c r="B16" t="s">
        <v>86</v>
      </c>
      <c r="C16" s="3">
        <f>SUM(D16:BZ16)</f>
        <v>4194886.3565831576</v>
      </c>
      <c r="D16" s="7">
        <v>784665.06806046749</v>
      </c>
      <c r="E16" s="7">
        <v>177504.88326745719</v>
      </c>
      <c r="F16" s="7">
        <v>3292.8569169960474</v>
      </c>
      <c r="G16" s="7">
        <v>60.356521739130443</v>
      </c>
      <c r="H16" s="7">
        <v>-2026.8600790513838</v>
      </c>
      <c r="I16" s="7">
        <v>99746.03438735177</v>
      </c>
      <c r="J16" s="7">
        <v>45261.083003952561</v>
      </c>
      <c r="K16" s="7">
        <v>-2194.9438735177869</v>
      </c>
      <c r="L16" s="7">
        <v>-602.32891022021477</v>
      </c>
      <c r="M16" s="7">
        <v>-1038.4612648221355</v>
      </c>
      <c r="N16" s="7">
        <v>455.87351778656102</v>
      </c>
      <c r="O16" s="7">
        <v>22118.951383399195</v>
      </c>
      <c r="P16" s="7">
        <v>211127.85627012188</v>
      </c>
      <c r="Q16" s="7">
        <v>4199.2222948676208</v>
      </c>
      <c r="R16" s="7">
        <v>37717.67391304348</v>
      </c>
      <c r="S16" s="7">
        <v>173511.20074791717</v>
      </c>
      <c r="T16" s="7">
        <v>167590.66524611926</v>
      </c>
      <c r="U16" s="7">
        <v>11276.134368530023</v>
      </c>
      <c r="V16" s="7">
        <v>36009.380237154153</v>
      </c>
      <c r="W16" s="7">
        <v>64550.812252964432</v>
      </c>
      <c r="X16" s="7">
        <v>66181.529493694688</v>
      </c>
      <c r="Y16" s="7">
        <v>15146.811113752774</v>
      </c>
      <c r="Z16" s="7">
        <v>-7540.3173913043429</v>
      </c>
      <c r="AA16" s="7">
        <v>148876.96176409404</v>
      </c>
      <c r="AB16" s="7">
        <v>20580.12650301644</v>
      </c>
      <c r="AC16" s="7">
        <v>28097.364031620556</v>
      </c>
      <c r="AD16" s="7">
        <v>13601.950988142293</v>
      </c>
      <c r="AE16" s="7">
        <v>50945.17345537759</v>
      </c>
      <c r="AF16" s="7">
        <v>8716.8300395256883</v>
      </c>
      <c r="AG16" s="7">
        <v>-4631.9653917402247</v>
      </c>
      <c r="AH16" s="7">
        <v>95185.363027133048</v>
      </c>
      <c r="AI16" s="7">
        <v>6756.647713156417</v>
      </c>
      <c r="AJ16" s="7">
        <v>31112.267419536984</v>
      </c>
      <c r="AK16" s="7">
        <v>66508.612911725941</v>
      </c>
      <c r="AL16" s="7">
        <v>39752.474563880052</v>
      </c>
      <c r="AM16" s="7">
        <v>72283.144268774704</v>
      </c>
      <c r="AN16" s="7">
        <v>7057.6595520421606</v>
      </c>
      <c r="AO16" s="7">
        <v>49240.384729610596</v>
      </c>
      <c r="AP16" s="7">
        <v>23906.046245059282</v>
      </c>
      <c r="AQ16" s="7">
        <v>13734.739241384093</v>
      </c>
      <c r="AR16" s="7">
        <v>40463.108300395252</v>
      </c>
      <c r="AS16" s="7">
        <v>10069.887389422174</v>
      </c>
      <c r="AT16" s="7">
        <v>641.32945704181475</v>
      </c>
      <c r="AU16" s="7">
        <v>-9372.8400527009253</v>
      </c>
      <c r="AV16" s="7">
        <v>12952.013721061548</v>
      </c>
      <c r="AW16" s="7">
        <v>38804.248325358873</v>
      </c>
      <c r="AX16" s="7">
        <v>47066.888531605699</v>
      </c>
      <c r="AY16" s="7">
        <v>226463.95526068137</v>
      </c>
      <c r="AZ16" s="7">
        <v>11135.923777823999</v>
      </c>
      <c r="BA16" s="7">
        <v>121917.32508940337</v>
      </c>
      <c r="BB16" s="7">
        <v>63100.595501599848</v>
      </c>
      <c r="BC16" s="7">
        <v>33764.398418972327</v>
      </c>
      <c r="BD16" s="7">
        <v>13507.767776159766</v>
      </c>
      <c r="BE16" s="7">
        <v>70521.989723320163</v>
      </c>
      <c r="BF16" s="7">
        <v>155687.65300207038</v>
      </c>
      <c r="BG16" s="7">
        <v>27794.726482213435</v>
      </c>
      <c r="BH16" s="7">
        <v>-24304.333513625956</v>
      </c>
      <c r="BI16" s="7">
        <v>62770.077247466485</v>
      </c>
      <c r="BJ16" s="7">
        <v>-909.2683794466393</v>
      </c>
      <c r="BK16" s="7">
        <v>8191.3814229249001</v>
      </c>
      <c r="BL16" s="7">
        <v>94063.290513834014</v>
      </c>
      <c r="BM16" s="7">
        <v>16892.2371541502</v>
      </c>
      <c r="BN16" s="7">
        <v>29313.408964109884</v>
      </c>
      <c r="BO16" s="7">
        <v>91406.516398704262</v>
      </c>
      <c r="BP16" s="7">
        <v>56273.475889328052</v>
      </c>
      <c r="BQ16" s="7">
        <v>44965.210671936758</v>
      </c>
      <c r="BR16" s="7">
        <v>263472.545918155</v>
      </c>
      <c r="BS16" s="7">
        <v>13696.147035573124</v>
      </c>
      <c r="BT16" s="7">
        <v>3309.6218431454035</v>
      </c>
      <c r="BU16" s="7">
        <v>9512.414624505931</v>
      </c>
      <c r="BV16" s="7">
        <v>-8342.741934876718</v>
      </c>
      <c r="BW16" s="7">
        <v>67695.051735068904</v>
      </c>
      <c r="BX16" s="7">
        <v>18918.015415019767</v>
      </c>
      <c r="BY16" s="7">
        <v>-3799.146245059289</v>
      </c>
      <c r="BZ16" s="7">
        <v>8506.2185770751021</v>
      </c>
      <c r="CB16" t="s">
        <v>107</v>
      </c>
    </row>
    <row r="17" spans="1:80" x14ac:dyDescent="0.2">
      <c r="B17" t="s">
        <v>95</v>
      </c>
      <c r="C17" s="3">
        <f>SUM(D17:BZ17)</f>
        <v>1186059601.063417</v>
      </c>
      <c r="D17" s="3">
        <f>D15-D16</f>
        <v>177152594.77193952</v>
      </c>
      <c r="E17" s="3">
        <f t="shared" ref="E17:BN17" si="0">E15-E16</f>
        <v>19138854.33673254</v>
      </c>
      <c r="F17" s="3">
        <f t="shared" si="0"/>
        <v>2929732.9930830039</v>
      </c>
      <c r="G17" s="3">
        <f t="shared" si="0"/>
        <v>2420909.4434782611</v>
      </c>
      <c r="H17" s="3">
        <f t="shared" si="0"/>
        <v>18107427.030079052</v>
      </c>
      <c r="I17" s="3">
        <f t="shared" si="0"/>
        <v>22900784.715612654</v>
      </c>
      <c r="J17" s="3">
        <f t="shared" si="0"/>
        <v>7735243.576996048</v>
      </c>
      <c r="K17" s="3">
        <f t="shared" si="0"/>
        <v>2625003.4638735172</v>
      </c>
      <c r="L17" s="3">
        <f t="shared" si="0"/>
        <v>5025949.4989102203</v>
      </c>
      <c r="M17" s="3">
        <f t="shared" si="0"/>
        <v>2563284.0312648225</v>
      </c>
      <c r="N17" s="3">
        <f t="shared" si="0"/>
        <v>5659426.1764822146</v>
      </c>
      <c r="O17" s="3">
        <f t="shared" si="0"/>
        <v>19530932.958616599</v>
      </c>
      <c r="P17" s="3">
        <f t="shared" si="0"/>
        <v>14889823.723729879</v>
      </c>
      <c r="Q17" s="3">
        <f t="shared" si="0"/>
        <v>17743408.997705132</v>
      </c>
      <c r="R17" s="3">
        <f t="shared" si="0"/>
        <v>6079314.2260869564</v>
      </c>
      <c r="S17" s="3">
        <f t="shared" si="0"/>
        <v>9346771.4692520835</v>
      </c>
      <c r="T17" s="3">
        <f t="shared" si="0"/>
        <v>18418081.694753878</v>
      </c>
      <c r="U17" s="3">
        <f t="shared" si="0"/>
        <v>10814092.11563147</v>
      </c>
      <c r="V17" s="3">
        <f t="shared" si="0"/>
        <v>15892220.319762846</v>
      </c>
      <c r="W17" s="3">
        <f t="shared" si="0"/>
        <v>15128658.517747035</v>
      </c>
      <c r="X17" s="3">
        <f t="shared" si="0"/>
        <v>22948262.230506308</v>
      </c>
      <c r="Y17" s="3">
        <f t="shared" si="0"/>
        <v>10973958.898886248</v>
      </c>
      <c r="Z17" s="3">
        <f t="shared" si="0"/>
        <v>4661501.7973913047</v>
      </c>
      <c r="AA17" s="3">
        <f t="shared" si="0"/>
        <v>25039150.62823591</v>
      </c>
      <c r="AB17" s="3">
        <f t="shared" si="0"/>
        <v>3092752.8934969837</v>
      </c>
      <c r="AC17" s="3">
        <f t="shared" si="0"/>
        <v>18826354.665968381</v>
      </c>
      <c r="AD17" s="3">
        <f t="shared" si="0"/>
        <v>4522469.3490118571</v>
      </c>
      <c r="AE17" s="3">
        <f t="shared" si="0"/>
        <v>12828572.346544622</v>
      </c>
      <c r="AF17" s="3">
        <f t="shared" si="0"/>
        <v>7255851.7099604746</v>
      </c>
      <c r="AG17" s="3">
        <f t="shared" si="0"/>
        <v>14874181.165391739</v>
      </c>
      <c r="AH17" s="3">
        <f t="shared" si="0"/>
        <v>27802001.036972865</v>
      </c>
      <c r="AI17" s="3">
        <f t="shared" si="0"/>
        <v>10179778.602286844</v>
      </c>
      <c r="AJ17" s="3">
        <f t="shared" si="0"/>
        <v>9010167.9225804638</v>
      </c>
      <c r="AK17" s="3">
        <f t="shared" si="0"/>
        <v>12713966.587088276</v>
      </c>
      <c r="AL17" s="3">
        <f t="shared" si="0"/>
        <v>9785582.6454361193</v>
      </c>
      <c r="AM17" s="3">
        <f t="shared" si="0"/>
        <v>16123239.835731225</v>
      </c>
      <c r="AN17" s="3">
        <f t="shared" si="0"/>
        <v>2759527.0804479574</v>
      </c>
      <c r="AO17" s="3">
        <f t="shared" si="0"/>
        <v>17679813.485270388</v>
      </c>
      <c r="AP17" s="3">
        <f t="shared" si="0"/>
        <v>9300802.1037549414</v>
      </c>
      <c r="AQ17" s="3">
        <f t="shared" si="0"/>
        <v>13186231.220758617</v>
      </c>
      <c r="AR17" s="3">
        <f t="shared" si="0"/>
        <v>6764018.7816996053</v>
      </c>
      <c r="AS17" s="3">
        <f t="shared" si="0"/>
        <v>5428017.7326105768</v>
      </c>
      <c r="AT17" s="3">
        <f t="shared" si="0"/>
        <v>4910804.0005429583</v>
      </c>
      <c r="AU17" s="3">
        <f t="shared" si="0"/>
        <v>7015375.6900527002</v>
      </c>
      <c r="AV17" s="3">
        <f t="shared" si="0"/>
        <v>5747790.5262789382</v>
      </c>
      <c r="AW17" s="3">
        <f t="shared" si="0"/>
        <v>10010038.13167464</v>
      </c>
      <c r="AX17" s="3">
        <f t="shared" si="0"/>
        <v>14477500.861468395</v>
      </c>
      <c r="AY17" s="3">
        <f t="shared" si="0"/>
        <v>13651390.34473932</v>
      </c>
      <c r="AZ17" s="3">
        <f t="shared" si="0"/>
        <v>10477718.466222176</v>
      </c>
      <c r="BA17" s="3">
        <f t="shared" si="0"/>
        <v>104868603.2249106</v>
      </c>
      <c r="BB17" s="3">
        <f t="shared" si="0"/>
        <v>21731443.474498399</v>
      </c>
      <c r="BC17" s="3">
        <f t="shared" si="0"/>
        <v>5666163.6415810278</v>
      </c>
      <c r="BD17" s="3">
        <f t="shared" si="0"/>
        <v>6661603.9522238402</v>
      </c>
      <c r="BE17" s="3">
        <f t="shared" si="0"/>
        <v>8890778.7402766794</v>
      </c>
      <c r="BF17" s="3">
        <f t="shared" si="0"/>
        <v>15584510.25699793</v>
      </c>
      <c r="BG17" s="3">
        <f t="shared" si="0"/>
        <v>4055797.0435177865</v>
      </c>
      <c r="BH17" s="3">
        <f t="shared" ref="BH17" si="1">BH15-BH16</f>
        <v>9712365.9735136274</v>
      </c>
      <c r="BI17" s="3">
        <f t="shared" si="0"/>
        <v>9117144.5227525346</v>
      </c>
      <c r="BJ17" s="3">
        <f t="shared" si="0"/>
        <v>2832728.2583794463</v>
      </c>
      <c r="BK17" s="3">
        <f t="shared" si="0"/>
        <v>4942663.0485770749</v>
      </c>
      <c r="BL17" s="3">
        <f t="shared" si="0"/>
        <v>17283419.939486165</v>
      </c>
      <c r="BM17" s="3">
        <f t="shared" si="0"/>
        <v>8292109.0228458494</v>
      </c>
      <c r="BN17" s="3">
        <f t="shared" si="0"/>
        <v>13282368.211035891</v>
      </c>
      <c r="BO17" s="3">
        <f t="shared" ref="BO17:BZ17" si="2">BO15-BO16</f>
        <v>25535953.533601291</v>
      </c>
      <c r="BP17" s="3">
        <f t="shared" si="2"/>
        <v>19243082.664110672</v>
      </c>
      <c r="BQ17" s="3">
        <f t="shared" si="2"/>
        <v>6566837.8893280625</v>
      </c>
      <c r="BR17" s="3">
        <f t="shared" si="2"/>
        <v>59803389.054081842</v>
      </c>
      <c r="BS17" s="3">
        <f t="shared" si="2"/>
        <v>15726533.332964426</v>
      </c>
      <c r="BT17" s="3">
        <f t="shared" si="2"/>
        <v>10443003.158156855</v>
      </c>
      <c r="BU17" s="3">
        <f t="shared" si="2"/>
        <v>3252366.8753754939</v>
      </c>
      <c r="BV17" s="3">
        <f t="shared" si="2"/>
        <v>7311585.2319348762</v>
      </c>
      <c r="BW17" s="3">
        <f t="shared" si="2"/>
        <v>42067380.178264931</v>
      </c>
      <c r="BX17" s="3">
        <f t="shared" si="2"/>
        <v>5232704.4745849809</v>
      </c>
      <c r="BY17" s="3">
        <f t="shared" si="2"/>
        <v>7783412.2962450599</v>
      </c>
      <c r="BZ17" s="3">
        <f t="shared" si="2"/>
        <v>24022318.261422925</v>
      </c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x14ac:dyDescent="0.2">
      <c r="B19" t="s">
        <v>96</v>
      </c>
      <c r="C19" s="3">
        <f>SUM(D19:BZ19)</f>
        <v>1333491487.5416548</v>
      </c>
      <c r="D19" s="3">
        <f>D17*D13</f>
        <v>249785158.62843472</v>
      </c>
      <c r="E19" s="3">
        <f t="shared" ref="E19:AI19" si="3">E17*E13</f>
        <v>25454676.267854281</v>
      </c>
      <c r="F19" s="3">
        <f t="shared" si="3"/>
        <v>3369192.9420454544</v>
      </c>
      <c r="G19" s="3">
        <f t="shared" si="3"/>
        <v>3026136.8043478262</v>
      </c>
      <c r="H19" s="3">
        <f t="shared" si="3"/>
        <v>12675198.921055336</v>
      </c>
      <c r="I19" s="3">
        <f t="shared" si="3"/>
        <v>20839714.091207515</v>
      </c>
      <c r="J19" s="3">
        <f t="shared" si="3"/>
        <v>8895530.113545455</v>
      </c>
      <c r="K19" s="3">
        <f t="shared" si="3"/>
        <v>3517504.6415905133</v>
      </c>
      <c r="L19" s="3">
        <f t="shared" si="3"/>
        <v>3970500.1041390742</v>
      </c>
      <c r="M19" s="3">
        <f t="shared" si="3"/>
        <v>3050307.9972051387</v>
      </c>
      <c r="N19" s="3">
        <f t="shared" si="3"/>
        <v>7074282.7206027685</v>
      </c>
      <c r="O19" s="3">
        <f t="shared" si="3"/>
        <v>18163767.651513439</v>
      </c>
      <c r="P19" s="3">
        <f t="shared" si="3"/>
        <v>19207872.603611544</v>
      </c>
      <c r="Q19" s="3">
        <f t="shared" si="3"/>
        <v>15791634.007957568</v>
      </c>
      <c r="R19" s="3">
        <f t="shared" si="3"/>
        <v>7234383.9290434774</v>
      </c>
      <c r="S19" s="3">
        <f t="shared" si="3"/>
        <v>9720642.3280221671</v>
      </c>
      <c r="T19" s="3">
        <f t="shared" si="3"/>
        <v>16023731.074435873</v>
      </c>
      <c r="U19" s="3">
        <f t="shared" si="3"/>
        <v>10273387.509849897</v>
      </c>
      <c r="V19" s="3">
        <f t="shared" si="3"/>
        <v>10171021.004648222</v>
      </c>
      <c r="W19" s="3">
        <f t="shared" si="3"/>
        <v>12254213.3993751</v>
      </c>
      <c r="X19" s="3">
        <f t="shared" si="3"/>
        <v>17440679.295184795</v>
      </c>
      <c r="Y19" s="3">
        <f t="shared" si="3"/>
        <v>11083698.487875111</v>
      </c>
      <c r="Z19" s="3">
        <f t="shared" si="3"/>
        <v>5220882.0130782621</v>
      </c>
      <c r="AA19" s="3">
        <f t="shared" si="3"/>
        <v>29796589.247600731</v>
      </c>
      <c r="AB19" s="3">
        <f t="shared" si="3"/>
        <v>3371100.6539117126</v>
      </c>
      <c r="AC19" s="3">
        <f t="shared" si="3"/>
        <v>19202881.759287748</v>
      </c>
      <c r="AD19" s="3">
        <f t="shared" si="3"/>
        <v>5381738.5253241099</v>
      </c>
      <c r="AE19" s="3">
        <f t="shared" si="3"/>
        <v>10647715.047632035</v>
      </c>
      <c r="AF19" s="3">
        <f t="shared" si="3"/>
        <v>9069814.6374505926</v>
      </c>
      <c r="AG19" s="3">
        <f t="shared" si="3"/>
        <v>14874181.165391739</v>
      </c>
      <c r="AH19" s="3">
        <f t="shared" si="3"/>
        <v>32806361.223627981</v>
      </c>
      <c r="AI19" s="3">
        <f t="shared" si="3"/>
        <v>11197756.462515529</v>
      </c>
      <c r="AJ19" s="3">
        <f t="shared" ref="AJ19:BM19" si="4">AJ17*AJ13</f>
        <v>13965760.27999972</v>
      </c>
      <c r="AK19" s="3">
        <f t="shared" si="4"/>
        <v>17672413.556052703</v>
      </c>
      <c r="AL19" s="3">
        <f t="shared" si="4"/>
        <v>12623401.612612594</v>
      </c>
      <c r="AM19" s="3">
        <f t="shared" si="4"/>
        <v>14833380.648872728</v>
      </c>
      <c r="AN19" s="3">
        <f t="shared" si="4"/>
        <v>3918528.4542360995</v>
      </c>
      <c r="AO19" s="3">
        <f t="shared" si="4"/>
        <v>23514151.935409617</v>
      </c>
      <c r="AP19" s="3">
        <f t="shared" si="4"/>
        <v>12091042.734881423</v>
      </c>
      <c r="AQ19" s="3">
        <f t="shared" si="4"/>
        <v>15164165.903872408</v>
      </c>
      <c r="AR19" s="3">
        <f t="shared" si="4"/>
        <v>7237500.0964185782</v>
      </c>
      <c r="AS19" s="3">
        <f t="shared" si="4"/>
        <v>6242220.3925021626</v>
      </c>
      <c r="AT19" s="3">
        <f t="shared" si="4"/>
        <v>5647424.6006244011</v>
      </c>
      <c r="AU19" s="3">
        <f t="shared" si="4"/>
        <v>8769219.6125658751</v>
      </c>
      <c r="AV19" s="3">
        <f t="shared" si="4"/>
        <v>7127260.2525858833</v>
      </c>
      <c r="AW19" s="3">
        <f t="shared" si="4"/>
        <v>10610640.419575119</v>
      </c>
      <c r="AX19" s="3">
        <f t="shared" si="4"/>
        <v>16359575.973459285</v>
      </c>
      <c r="AY19" s="3">
        <f t="shared" si="4"/>
        <v>16108640.606792396</v>
      </c>
      <c r="AZ19" s="3">
        <f t="shared" si="4"/>
        <v>12154153.420817723</v>
      </c>
      <c r="BA19" s="3">
        <f t="shared" si="4"/>
        <v>77602766.38643384</v>
      </c>
      <c r="BB19" s="3">
        <f t="shared" si="4"/>
        <v>26295046.604143061</v>
      </c>
      <c r="BC19" s="3">
        <f t="shared" si="4"/>
        <v>6969381.2791446643</v>
      </c>
      <c r="BD19" s="3">
        <f t="shared" si="4"/>
        <v>7927308.7031463692</v>
      </c>
      <c r="BE19" s="3">
        <f t="shared" si="4"/>
        <v>12358182.448984584</v>
      </c>
      <c r="BF19" s="3">
        <f t="shared" si="4"/>
        <v>20571553.539237268</v>
      </c>
      <c r="BG19" s="3">
        <f>BG17*BG13</f>
        <v>5394210.0678786561</v>
      </c>
      <c r="BH19" s="3">
        <f t="shared" si="4"/>
        <v>12880376.288797306</v>
      </c>
      <c r="BI19" s="3">
        <f t="shared" si="4"/>
        <v>10849401.982075516</v>
      </c>
      <c r="BJ19" s="3">
        <f t="shared" si="4"/>
        <v>3257637.4971363628</v>
      </c>
      <c r="BK19" s="3">
        <f t="shared" si="4"/>
        <v>6573741.8546075104</v>
      </c>
      <c r="BL19" s="3">
        <f t="shared" si="4"/>
        <v>20740103.927383397</v>
      </c>
      <c r="BM19" s="3">
        <f t="shared" si="4"/>
        <v>10116373.007871935</v>
      </c>
      <c r="BN19" s="3">
        <f t="shared" ref="BN19:BZ19" si="5">BN17*BN13</f>
        <v>16204489.217463786</v>
      </c>
      <c r="BO19" s="3">
        <f t="shared" si="5"/>
        <v>32430660.98767364</v>
      </c>
      <c r="BP19" s="3">
        <f t="shared" si="5"/>
        <v>24438714.983420555</v>
      </c>
      <c r="BQ19" s="3">
        <f t="shared" si="5"/>
        <v>9850256.8339920938</v>
      </c>
      <c r="BR19" s="3">
        <f t="shared" si="5"/>
        <v>70567999.083816573</v>
      </c>
      <c r="BS19" s="3">
        <f t="shared" si="5"/>
        <v>12109430.666382609</v>
      </c>
      <c r="BT19" s="3">
        <f t="shared" si="5"/>
        <v>10443003.158156855</v>
      </c>
      <c r="BU19" s="3">
        <f t="shared" si="5"/>
        <v>4097982.2629731223</v>
      </c>
      <c r="BV19" s="3">
        <f t="shared" si="5"/>
        <v>7969627.9028090155</v>
      </c>
      <c r="BW19" s="3">
        <f t="shared" si="5"/>
        <v>48798161.006787315</v>
      </c>
      <c r="BX19" s="3">
        <f t="shared" si="5"/>
        <v>6174591.2800102774</v>
      </c>
      <c r="BY19" s="3">
        <f t="shared" si="5"/>
        <v>9495763.0014189724</v>
      </c>
      <c r="BZ19" s="3">
        <f t="shared" si="5"/>
        <v>24742987.809265614</v>
      </c>
    </row>
    <row r="21" spans="1:80" s="19" customFormat="1" x14ac:dyDescent="0.2">
      <c r="B21" s="19" t="s">
        <v>89</v>
      </c>
      <c r="C21" s="13">
        <f>C17*$C13</f>
        <v>1333491487.5416548</v>
      </c>
      <c r="D21" s="13">
        <f>D17*$C13</f>
        <v>199173361.02881616</v>
      </c>
      <c r="E21" s="13">
        <f t="shared" ref="E21:AH21" si="6">E17*$C13</f>
        <v>21517889.418415431</v>
      </c>
      <c r="F21" s="13">
        <f t="shared" si="6"/>
        <v>3293910.3596002422</v>
      </c>
      <c r="G21" s="13">
        <f t="shared" si="6"/>
        <v>2721838.0358735914</v>
      </c>
      <c r="H21" s="13">
        <f t="shared" si="6"/>
        <v>20358251.62938083</v>
      </c>
      <c r="I21" s="13">
        <f t="shared" si="6"/>
        <v>25747442.581227154</v>
      </c>
      <c r="J21" s="13">
        <f t="shared" si="6"/>
        <v>8696764.8630281352</v>
      </c>
      <c r="K21" s="13">
        <f t="shared" si="6"/>
        <v>2951301.7479932955</v>
      </c>
      <c r="L21" s="13">
        <f t="shared" si="6"/>
        <v>5650694.8450162029</v>
      </c>
      <c r="M21" s="13">
        <f t="shared" si="6"/>
        <v>2881910.3464770452</v>
      </c>
      <c r="N21" s="13">
        <f t="shared" si="6"/>
        <v>6362915.1721743299</v>
      </c>
      <c r="O21" s="13">
        <f t="shared" si="6"/>
        <v>21958704.959439412</v>
      </c>
      <c r="P21" s="13">
        <f t="shared" si="6"/>
        <v>16740687.541154969</v>
      </c>
      <c r="Q21" s="13">
        <f t="shared" si="6"/>
        <v>19948984.719819907</v>
      </c>
      <c r="R21" s="13">
        <f t="shared" si="6"/>
        <v>6834996.9624708472</v>
      </c>
      <c r="S21" s="13">
        <f t="shared" si="6"/>
        <v>10508612.028493192</v>
      </c>
      <c r="T21" s="13">
        <f t="shared" si="6"/>
        <v>20707521.894161426</v>
      </c>
      <c r="U21" s="13">
        <f t="shared" si="6"/>
        <v>12158326.418635724</v>
      </c>
      <c r="V21" s="13">
        <f t="shared" si="6"/>
        <v>17867685.987735752</v>
      </c>
      <c r="W21" s="13">
        <f t="shared" si="6"/>
        <v>17009210.442082621</v>
      </c>
      <c r="X21" s="13">
        <f t="shared" si="6"/>
        <v>25800821.738483295</v>
      </c>
      <c r="Y21" s="13">
        <f t="shared" si="6"/>
        <v>12338065.273596955</v>
      </c>
      <c r="Z21" s="13">
        <f t="shared" si="6"/>
        <v>5240944.8567408575</v>
      </c>
      <c r="AA21" s="13">
        <f t="shared" si="6"/>
        <v>28151615.81094994</v>
      </c>
      <c r="AB21" s="13">
        <f t="shared" si="6"/>
        <v>3477194.2766201147</v>
      </c>
      <c r="AC21" s="13">
        <f t="shared" si="6"/>
        <v>21166544.806011509</v>
      </c>
      <c r="AD21" s="13">
        <f t="shared" si="6"/>
        <v>5084630.1266549155</v>
      </c>
      <c r="AE21" s="13">
        <f t="shared" si="6"/>
        <v>14423214.487780914</v>
      </c>
      <c r="AF21" s="13">
        <f t="shared" si="6"/>
        <v>8157782.6960986862</v>
      </c>
      <c r="AG21" s="13">
        <f t="shared" si="6"/>
        <v>16723100.551117893</v>
      </c>
      <c r="AH21" s="13">
        <f t="shared" si="6"/>
        <v>31257899.422750253</v>
      </c>
      <c r="AI21" s="13">
        <f t="shared" ref="AI21:BL21" si="7">AI17*$C13</f>
        <v>11445165.233717773</v>
      </c>
      <c r="AJ21" s="13">
        <f t="shared" si="7"/>
        <v>10130167.333335806</v>
      </c>
      <c r="AK21" s="13">
        <f t="shared" si="7"/>
        <v>14294362.780395161</v>
      </c>
      <c r="AL21" s="13">
        <f t="shared" si="7"/>
        <v>11001969.164639561</v>
      </c>
      <c r="AM21" s="13">
        <f t="shared" si="7"/>
        <v>18127422.140728079</v>
      </c>
      <c r="AN21" s="13">
        <f t="shared" si="7"/>
        <v>3102547.180697096</v>
      </c>
      <c r="AO21" s="13">
        <f t="shared" si="7"/>
        <v>19877484.034355581</v>
      </c>
      <c r="AP21" s="13">
        <f t="shared" si="7"/>
        <v>10456928.489552004</v>
      </c>
      <c r="AQ21" s="13">
        <f t="shared" si="7"/>
        <v>14825331.770740788</v>
      </c>
      <c r="AR21" s="13">
        <f t="shared" si="7"/>
        <v>7604812.9949635006</v>
      </c>
      <c r="AS21" s="13">
        <f t="shared" si="7"/>
        <v>6102741.7460063556</v>
      </c>
      <c r="AT21" s="13">
        <f t="shared" si="7"/>
        <v>5521236.3070440665</v>
      </c>
      <c r="AU21" s="13">
        <f t="shared" si="7"/>
        <v>7887414.5584288752</v>
      </c>
      <c r="AV21" s="13">
        <f t="shared" si="7"/>
        <v>6462263.5591781829</v>
      </c>
      <c r="AW21" s="13">
        <f t="shared" si="7"/>
        <v>11254325.35311671</v>
      </c>
      <c r="AX21" s="13">
        <f t="shared" si="7"/>
        <v>16277111.320827153</v>
      </c>
      <c r="AY21" s="13">
        <f t="shared" si="7"/>
        <v>15348312.008516744</v>
      </c>
      <c r="AZ21" s="13">
        <f t="shared" si="7"/>
        <v>11780140.197877135</v>
      </c>
      <c r="BA21" s="13">
        <f t="shared" si="7"/>
        <v>117904184.22937626</v>
      </c>
      <c r="BB21" s="13">
        <f t="shared" si="7"/>
        <v>24432747.611717034</v>
      </c>
      <c r="BC21" s="13">
        <f t="shared" si="7"/>
        <v>6370490.1307588909</v>
      </c>
      <c r="BD21" s="13">
        <f t="shared" si="7"/>
        <v>7489667.5982384831</v>
      </c>
      <c r="BE21" s="13">
        <f t="shared" si="7"/>
        <v>9995937.6047758646</v>
      </c>
      <c r="BF21" s="13">
        <f t="shared" si="7"/>
        <v>17521726.35049659</v>
      </c>
      <c r="BG21" s="13">
        <f t="shared" si="7"/>
        <v>4559948.612935178</v>
      </c>
      <c r="BH21" s="13">
        <f>BH17*$C13</f>
        <v>10919651.371615304</v>
      </c>
      <c r="BI21" s="13">
        <f t="shared" si="7"/>
        <v>10250441.546847254</v>
      </c>
      <c r="BJ21" s="13">
        <f t="shared" si="7"/>
        <v>3184847.5537661584</v>
      </c>
      <c r="BK21" s="13">
        <f t="shared" si="7"/>
        <v>5557055.5604075436</v>
      </c>
      <c r="BL21" s="13">
        <f t="shared" si="7"/>
        <v>19431817.207371686</v>
      </c>
      <c r="BM21" s="13">
        <f t="shared" ref="BM21:BZ21" si="8">BM17*$C13</f>
        <v>9322850.8801903483</v>
      </c>
      <c r="BN21" s="13">
        <f t="shared" si="8"/>
        <v>14933418.968093837</v>
      </c>
      <c r="BO21" s="13">
        <f t="shared" si="8"/>
        <v>28710173.276946351</v>
      </c>
      <c r="BP21" s="13">
        <f t="shared" si="8"/>
        <v>21635073.737984892</v>
      </c>
      <c r="BQ21" s="13">
        <f t="shared" si="8"/>
        <v>7383121.7399476739</v>
      </c>
      <c r="BR21" s="13">
        <f t="shared" si="8"/>
        <v>67237186.19052428</v>
      </c>
      <c r="BS21" s="13">
        <f t="shared" si="8"/>
        <v>17681403.454974309</v>
      </c>
      <c r="BT21" s="13">
        <f t="shared" si="8"/>
        <v>11741109.640094889</v>
      </c>
      <c r="BU21" s="13">
        <f t="shared" si="8"/>
        <v>3656648.905996907</v>
      </c>
      <c r="BV21" s="13">
        <f t="shared" si="8"/>
        <v>8220444.1146791223</v>
      </c>
      <c r="BW21" s="13">
        <f t="shared" si="8"/>
        <v>47296521.45693092</v>
      </c>
      <c r="BX21" s="13">
        <f t="shared" si="8"/>
        <v>5883150.2796520153</v>
      </c>
      <c r="BY21" s="13">
        <f t="shared" si="8"/>
        <v>8750921.1440672576</v>
      </c>
      <c r="BZ21" s="13">
        <f t="shared" si="8"/>
        <v>27008387.170343496</v>
      </c>
    </row>
    <row r="23" spans="1:80" x14ac:dyDescent="0.2">
      <c r="A23" s="23" t="s">
        <v>148</v>
      </c>
      <c r="B23" s="24" t="s">
        <v>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</row>
    <row r="24" spans="1:80" x14ac:dyDescent="0.2">
      <c r="B24" t="s">
        <v>81</v>
      </c>
      <c r="C24" s="3">
        <f>SUM(D24:BZ24)</f>
        <v>71317458.850000024</v>
      </c>
      <c r="D24" s="7">
        <v>14919528.199999999</v>
      </c>
      <c r="E24" s="7">
        <v>597347.74999999988</v>
      </c>
      <c r="F24" s="7">
        <v>80213.25</v>
      </c>
      <c r="G24" s="7">
        <v>63747.200000000004</v>
      </c>
      <c r="H24" s="7">
        <v>121360.15</v>
      </c>
      <c r="I24" s="7">
        <v>797640.79999999993</v>
      </c>
      <c r="J24" s="7">
        <v>612707.04999999993</v>
      </c>
      <c r="K24" s="7">
        <v>52401.200000000004</v>
      </c>
      <c r="L24" s="7">
        <v>59729.65</v>
      </c>
      <c r="M24" s="7">
        <v>22835.5</v>
      </c>
      <c r="N24" s="7">
        <v>50262.75</v>
      </c>
      <c r="O24" s="7">
        <v>579956.65</v>
      </c>
      <c r="P24" s="7">
        <v>2261526.1500000004</v>
      </c>
      <c r="Q24" s="7">
        <v>1455152.5499999998</v>
      </c>
      <c r="R24" s="7">
        <v>512132.89999999997</v>
      </c>
      <c r="S24" s="7">
        <v>2349119.15</v>
      </c>
      <c r="T24" s="7">
        <v>2516161.4</v>
      </c>
      <c r="U24" s="7">
        <v>783239.7</v>
      </c>
      <c r="V24" s="7">
        <v>2319574.3000000003</v>
      </c>
      <c r="W24" s="7">
        <v>1985428.7500000002</v>
      </c>
      <c r="X24" s="7">
        <v>3206540.7</v>
      </c>
      <c r="Y24" s="7">
        <v>730926.5</v>
      </c>
      <c r="Z24" s="7">
        <v>234288.99999999997</v>
      </c>
      <c r="AA24" s="7">
        <v>2818813.8999999994</v>
      </c>
      <c r="AB24" s="7">
        <v>121408.40000000002</v>
      </c>
      <c r="AC24" s="7">
        <v>1904305.9000000001</v>
      </c>
      <c r="AD24" s="7">
        <v>496487.25</v>
      </c>
      <c r="AE24" s="7">
        <v>3066458.7</v>
      </c>
      <c r="AF24" s="7">
        <v>397864.64999999997</v>
      </c>
      <c r="AG24" s="7">
        <v>1419930.6500000001</v>
      </c>
      <c r="AH24" s="7">
        <v>3068758.0500000003</v>
      </c>
      <c r="AI24" s="7">
        <v>985607.29999999993</v>
      </c>
      <c r="AJ24" s="7">
        <v>751908.2</v>
      </c>
      <c r="AK24" s="7">
        <v>904448.99999999988</v>
      </c>
      <c r="AL24" s="7">
        <v>340461.94999999995</v>
      </c>
      <c r="AM24" s="7">
        <v>1081748.7500000002</v>
      </c>
      <c r="AN24" s="7">
        <v>289160.55</v>
      </c>
      <c r="AO24" s="7">
        <v>529206.1</v>
      </c>
      <c r="AP24" s="7">
        <v>494450.25</v>
      </c>
      <c r="AQ24" s="7">
        <v>474693.9</v>
      </c>
      <c r="AR24" s="7">
        <v>256021.1</v>
      </c>
      <c r="AS24" s="7">
        <v>58217.100000000006</v>
      </c>
      <c r="AT24" s="7">
        <v>52570</v>
      </c>
      <c r="AU24" s="7">
        <v>217897.00000000003</v>
      </c>
      <c r="AV24" s="7">
        <v>187175.25</v>
      </c>
      <c r="AW24" s="7">
        <v>276029.59999999998</v>
      </c>
      <c r="AX24" s="7">
        <v>260768.84999999998</v>
      </c>
      <c r="AY24" s="7">
        <v>662984.45000000007</v>
      </c>
      <c r="AZ24" s="7">
        <v>315810.94999999995</v>
      </c>
      <c r="BA24" s="7">
        <v>2342977.0999999996</v>
      </c>
      <c r="BB24" s="7">
        <v>646846.65</v>
      </c>
      <c r="BC24" s="7">
        <v>278191.2</v>
      </c>
      <c r="BD24" s="7">
        <v>97707.400000000009</v>
      </c>
      <c r="BE24" s="7">
        <v>191505.79999999996</v>
      </c>
      <c r="BF24" s="7">
        <v>462016.2</v>
      </c>
      <c r="BG24" s="7">
        <v>146883</v>
      </c>
      <c r="BH24" s="7">
        <v>266683.40000000002</v>
      </c>
      <c r="BI24" s="7">
        <v>325994.25</v>
      </c>
      <c r="BJ24" s="7">
        <v>116559.70000000001</v>
      </c>
      <c r="BK24" s="7">
        <v>68831.8</v>
      </c>
      <c r="BL24" s="7">
        <v>1507231.9000000001</v>
      </c>
      <c r="BM24" s="7">
        <v>245644.2</v>
      </c>
      <c r="BN24" s="7">
        <v>447804.69999999995</v>
      </c>
      <c r="BO24" s="7">
        <v>1282262</v>
      </c>
      <c r="BP24" s="7">
        <v>700144.1</v>
      </c>
      <c r="BQ24" s="7">
        <v>252974.65</v>
      </c>
      <c r="BR24" s="7">
        <v>1856859.7500000002</v>
      </c>
      <c r="BS24" s="7">
        <v>131518.05000000002</v>
      </c>
      <c r="BT24" s="7">
        <v>309879.7</v>
      </c>
      <c r="BU24" s="7">
        <v>83566.549999999988</v>
      </c>
      <c r="BV24" s="7">
        <v>89027.15</v>
      </c>
      <c r="BW24" s="7">
        <v>1202780.4999999998</v>
      </c>
      <c r="BX24" s="7">
        <v>47585.9</v>
      </c>
      <c r="BY24" s="7">
        <v>163757.70000000001</v>
      </c>
      <c r="BZ24" s="7">
        <v>307216.45</v>
      </c>
      <c r="CB24" t="s">
        <v>107</v>
      </c>
    </row>
    <row r="25" spans="1:80" x14ac:dyDescent="0.2">
      <c r="B25" t="s">
        <v>86</v>
      </c>
      <c r="C25" s="3">
        <f>SUM(D25:BZ25)</f>
        <v>761087.46000000008</v>
      </c>
      <c r="D25" s="7">
        <v>-73370.649999999994</v>
      </c>
      <c r="E25" s="7">
        <v>9576.3499999999985</v>
      </c>
      <c r="F25" s="7">
        <v>11.1</v>
      </c>
      <c r="G25" s="7">
        <v>2.2999999999999998</v>
      </c>
      <c r="H25" s="7">
        <v>7</v>
      </c>
      <c r="I25" s="7">
        <v>3715.8</v>
      </c>
      <c r="J25" s="7">
        <v>6143.8</v>
      </c>
      <c r="K25" s="7">
        <v>59.35</v>
      </c>
      <c r="L25" s="7">
        <v>411.70000000000005</v>
      </c>
      <c r="M25" s="7">
        <v>329.34999999999997</v>
      </c>
      <c r="N25" s="7">
        <v>5.55</v>
      </c>
      <c r="O25" s="7">
        <v>6004.9500000000007</v>
      </c>
      <c r="P25" s="7">
        <v>42564</v>
      </c>
      <c r="Q25" s="7">
        <v>376208.3</v>
      </c>
      <c r="R25" s="7">
        <v>766.09999999999991</v>
      </c>
      <c r="S25" s="7">
        <v>15832.5</v>
      </c>
      <c r="T25" s="7">
        <v>3482.6500000000005</v>
      </c>
      <c r="U25" s="7">
        <v>3937.2000000000003</v>
      </c>
      <c r="V25" s="7">
        <v>11399.6</v>
      </c>
      <c r="W25" s="7">
        <v>103614.06999999999</v>
      </c>
      <c r="X25" s="7">
        <v>14174.15</v>
      </c>
      <c r="Y25" s="7">
        <v>4638.1500000000005</v>
      </c>
      <c r="Z25" s="7">
        <v>266.95</v>
      </c>
      <c r="AA25" s="7">
        <v>24016.899999999998</v>
      </c>
      <c r="AB25" s="7">
        <v>23.3</v>
      </c>
      <c r="AC25" s="7">
        <v>19116.75</v>
      </c>
      <c r="AD25" s="7">
        <v>130.75</v>
      </c>
      <c r="AE25" s="7">
        <v>175.73</v>
      </c>
      <c r="AF25" s="7">
        <v>445.7</v>
      </c>
      <c r="AG25" s="7">
        <v>15.350000000000001</v>
      </c>
      <c r="AH25" s="7">
        <v>2411.8999999999996</v>
      </c>
      <c r="AI25" s="7">
        <v>1820.95</v>
      </c>
      <c r="AJ25" s="7">
        <v>788.94999999999993</v>
      </c>
      <c r="AK25" s="7">
        <v>5713.25</v>
      </c>
      <c r="AL25" s="7">
        <v>-1448.1000000000001</v>
      </c>
      <c r="AM25" s="7">
        <v>33.35</v>
      </c>
      <c r="AN25" s="7">
        <v>17.399999999999999</v>
      </c>
      <c r="AO25" s="7">
        <v>1946.64</v>
      </c>
      <c r="AP25" s="7">
        <v>9402.2000000000007</v>
      </c>
      <c r="AQ25" s="7">
        <v>2770.7999999999997</v>
      </c>
      <c r="AR25" s="7">
        <v>2228</v>
      </c>
      <c r="AS25" s="7">
        <v>9.4499999999999993</v>
      </c>
      <c r="AT25" s="7">
        <v>1132.3999999999999</v>
      </c>
      <c r="AU25" s="7">
        <v>8601.75</v>
      </c>
      <c r="AV25" s="7">
        <v>2660.3</v>
      </c>
      <c r="AW25" s="7">
        <v>8777.75</v>
      </c>
      <c r="AX25" s="7">
        <v>2376.0500000000002</v>
      </c>
      <c r="AY25" s="7">
        <v>18457.8</v>
      </c>
      <c r="AZ25" s="7">
        <v>836.65</v>
      </c>
      <c r="BA25" s="7">
        <v>18555.21</v>
      </c>
      <c r="BB25" s="7">
        <v>6816.5</v>
      </c>
      <c r="BC25" s="7">
        <v>1994.55</v>
      </c>
      <c r="BD25" s="7">
        <v>60.55</v>
      </c>
      <c r="BE25" s="7">
        <v>5142.55</v>
      </c>
      <c r="BF25" s="7">
        <v>5271.15</v>
      </c>
      <c r="BG25" s="7">
        <v>1140.7</v>
      </c>
      <c r="BH25" s="7">
        <v>1082.75</v>
      </c>
      <c r="BI25" s="7">
        <v>1843.2</v>
      </c>
      <c r="BJ25" s="7">
        <v>84.35</v>
      </c>
      <c r="BK25" s="7">
        <v>29.400000000000002</v>
      </c>
      <c r="BL25" s="7">
        <v>4016.6499999999996</v>
      </c>
      <c r="BM25" s="7">
        <v>125.15</v>
      </c>
      <c r="BN25" s="7">
        <v>10024.41</v>
      </c>
      <c r="BO25" s="7">
        <v>21332.799999999999</v>
      </c>
      <c r="BP25" s="7">
        <v>6834.1</v>
      </c>
      <c r="BQ25" s="7">
        <v>1736.4500000000003</v>
      </c>
      <c r="BR25" s="7">
        <v>24271.550000000003</v>
      </c>
      <c r="BS25" s="7">
        <v>555.1</v>
      </c>
      <c r="BT25" s="7">
        <v>6.45</v>
      </c>
      <c r="BU25" s="7">
        <v>2.75</v>
      </c>
      <c r="BV25" s="7">
        <v>11.2</v>
      </c>
      <c r="BW25" s="7">
        <v>7073.65</v>
      </c>
      <c r="BX25" s="7">
        <v>1.95</v>
      </c>
      <c r="BY25" s="7">
        <v>27.2</v>
      </c>
      <c r="BZ25" s="7">
        <v>804.90000000000009</v>
      </c>
      <c r="CB25" t="s">
        <v>107</v>
      </c>
    </row>
    <row r="26" spans="1:80" s="19" customFormat="1" x14ac:dyDescent="0.2">
      <c r="B26" s="19" t="s">
        <v>90</v>
      </c>
      <c r="C26" s="13">
        <f>SUM(D26:BZ26)</f>
        <v>70556371.389999971</v>
      </c>
      <c r="D26" s="13">
        <f>D24-D25</f>
        <v>14992898.85</v>
      </c>
      <c r="E26" s="13">
        <f t="shared" ref="E26:BN26" si="9">E24-E25</f>
        <v>587771.39999999991</v>
      </c>
      <c r="F26" s="13">
        <f t="shared" si="9"/>
        <v>80202.149999999994</v>
      </c>
      <c r="G26" s="13">
        <f t="shared" si="9"/>
        <v>63744.9</v>
      </c>
      <c r="H26" s="13">
        <f t="shared" si="9"/>
        <v>121353.15</v>
      </c>
      <c r="I26" s="13">
        <f t="shared" si="9"/>
        <v>793924.99999999988</v>
      </c>
      <c r="J26" s="13">
        <f t="shared" si="9"/>
        <v>606563.24999999988</v>
      </c>
      <c r="K26" s="13">
        <f t="shared" si="9"/>
        <v>52341.850000000006</v>
      </c>
      <c r="L26" s="13">
        <f t="shared" si="9"/>
        <v>59317.950000000004</v>
      </c>
      <c r="M26" s="13">
        <f t="shared" si="9"/>
        <v>22506.15</v>
      </c>
      <c r="N26" s="13">
        <f t="shared" si="9"/>
        <v>50257.2</v>
      </c>
      <c r="O26" s="13">
        <f t="shared" si="9"/>
        <v>573951.70000000007</v>
      </c>
      <c r="P26" s="13">
        <f t="shared" si="9"/>
        <v>2218962.1500000004</v>
      </c>
      <c r="Q26" s="13">
        <f t="shared" si="9"/>
        <v>1078944.2499999998</v>
      </c>
      <c r="R26" s="13">
        <f t="shared" si="9"/>
        <v>511366.8</v>
      </c>
      <c r="S26" s="13">
        <f t="shared" si="9"/>
        <v>2333286.65</v>
      </c>
      <c r="T26" s="13">
        <f t="shared" si="9"/>
        <v>2512678.75</v>
      </c>
      <c r="U26" s="13">
        <f t="shared" si="9"/>
        <v>779302.5</v>
      </c>
      <c r="V26" s="13">
        <f t="shared" si="9"/>
        <v>2308174.7000000002</v>
      </c>
      <c r="W26" s="13">
        <f t="shared" si="9"/>
        <v>1881814.6800000002</v>
      </c>
      <c r="X26" s="13">
        <f t="shared" si="9"/>
        <v>3192366.5500000003</v>
      </c>
      <c r="Y26" s="13">
        <f t="shared" si="9"/>
        <v>726288.35</v>
      </c>
      <c r="Z26" s="13">
        <f t="shared" si="9"/>
        <v>234022.04999999996</v>
      </c>
      <c r="AA26" s="13">
        <f t="shared" si="9"/>
        <v>2794796.9999999995</v>
      </c>
      <c r="AB26" s="13">
        <f t="shared" si="9"/>
        <v>121385.10000000002</v>
      </c>
      <c r="AC26" s="13">
        <f t="shared" si="9"/>
        <v>1885189.1500000001</v>
      </c>
      <c r="AD26" s="13">
        <f t="shared" si="9"/>
        <v>496356.5</v>
      </c>
      <c r="AE26" s="13">
        <f t="shared" si="9"/>
        <v>3066282.97</v>
      </c>
      <c r="AF26" s="13">
        <f t="shared" si="9"/>
        <v>397418.94999999995</v>
      </c>
      <c r="AG26" s="13">
        <f t="shared" si="9"/>
        <v>1419915.3</v>
      </c>
      <c r="AH26" s="13">
        <f t="shared" si="9"/>
        <v>3066346.1500000004</v>
      </c>
      <c r="AI26" s="13">
        <f t="shared" si="9"/>
        <v>983786.35</v>
      </c>
      <c r="AJ26" s="13">
        <f t="shared" si="9"/>
        <v>751119.25</v>
      </c>
      <c r="AK26" s="13">
        <f t="shared" si="9"/>
        <v>898735.74999999988</v>
      </c>
      <c r="AL26" s="13">
        <f t="shared" si="9"/>
        <v>341910.04999999993</v>
      </c>
      <c r="AM26" s="13">
        <f t="shared" si="9"/>
        <v>1081715.4000000001</v>
      </c>
      <c r="AN26" s="13">
        <f t="shared" si="9"/>
        <v>289143.14999999997</v>
      </c>
      <c r="AO26" s="13">
        <f t="shared" si="9"/>
        <v>527259.46</v>
      </c>
      <c r="AP26" s="13">
        <f t="shared" si="9"/>
        <v>485048.05</v>
      </c>
      <c r="AQ26" s="13">
        <f t="shared" si="9"/>
        <v>471923.10000000003</v>
      </c>
      <c r="AR26" s="13">
        <f t="shared" si="9"/>
        <v>253793.1</v>
      </c>
      <c r="AS26" s="13">
        <f t="shared" si="9"/>
        <v>58207.650000000009</v>
      </c>
      <c r="AT26" s="13">
        <f t="shared" si="9"/>
        <v>51437.599999999999</v>
      </c>
      <c r="AU26" s="13">
        <f t="shared" si="9"/>
        <v>209295.25000000003</v>
      </c>
      <c r="AV26" s="13">
        <f t="shared" si="9"/>
        <v>184514.95</v>
      </c>
      <c r="AW26" s="13">
        <f t="shared" si="9"/>
        <v>267251.84999999998</v>
      </c>
      <c r="AX26" s="13">
        <f t="shared" si="9"/>
        <v>258392.8</v>
      </c>
      <c r="AY26" s="13">
        <f t="shared" si="9"/>
        <v>644526.65</v>
      </c>
      <c r="AZ26" s="13">
        <f t="shared" si="9"/>
        <v>314974.29999999993</v>
      </c>
      <c r="BA26" s="13">
        <f t="shared" si="9"/>
        <v>2324421.8899999997</v>
      </c>
      <c r="BB26" s="13">
        <f t="shared" si="9"/>
        <v>640030.15</v>
      </c>
      <c r="BC26" s="13">
        <f t="shared" si="9"/>
        <v>276196.65000000002</v>
      </c>
      <c r="BD26" s="13">
        <f t="shared" si="9"/>
        <v>97646.85</v>
      </c>
      <c r="BE26" s="13">
        <f t="shared" si="9"/>
        <v>186363.24999999997</v>
      </c>
      <c r="BF26" s="13">
        <f t="shared" si="9"/>
        <v>456745.05</v>
      </c>
      <c r="BG26" s="13">
        <f t="shared" si="9"/>
        <v>145742.29999999999</v>
      </c>
      <c r="BH26" s="13">
        <f t="shared" si="9"/>
        <v>265600.65000000002</v>
      </c>
      <c r="BI26" s="13">
        <f t="shared" si="9"/>
        <v>324151.05</v>
      </c>
      <c r="BJ26" s="13">
        <f t="shared" si="9"/>
        <v>116475.35</v>
      </c>
      <c r="BK26" s="13">
        <f t="shared" si="9"/>
        <v>68802.400000000009</v>
      </c>
      <c r="BL26" s="13">
        <f t="shared" si="9"/>
        <v>1503215.2500000002</v>
      </c>
      <c r="BM26" s="13">
        <f t="shared" si="9"/>
        <v>245519.05000000002</v>
      </c>
      <c r="BN26" s="13">
        <f t="shared" si="9"/>
        <v>437780.29</v>
      </c>
      <c r="BO26" s="13">
        <f t="shared" ref="BO26:BZ26" si="10">BO24-BO25</f>
        <v>1260929.2</v>
      </c>
      <c r="BP26" s="13">
        <f t="shared" si="10"/>
        <v>693310</v>
      </c>
      <c r="BQ26" s="13">
        <f t="shared" si="10"/>
        <v>251238.19999999998</v>
      </c>
      <c r="BR26" s="13">
        <f t="shared" si="10"/>
        <v>1832588.2000000002</v>
      </c>
      <c r="BS26" s="13">
        <f t="shared" si="10"/>
        <v>130962.95000000001</v>
      </c>
      <c r="BT26" s="13">
        <f t="shared" si="10"/>
        <v>309873.25</v>
      </c>
      <c r="BU26" s="13">
        <f t="shared" si="10"/>
        <v>83563.799999999988</v>
      </c>
      <c r="BV26" s="13">
        <f t="shared" si="10"/>
        <v>89015.95</v>
      </c>
      <c r="BW26" s="13">
        <f t="shared" si="10"/>
        <v>1195706.8499999999</v>
      </c>
      <c r="BX26" s="13">
        <f t="shared" si="10"/>
        <v>47583.950000000004</v>
      </c>
      <c r="BY26" s="13">
        <f t="shared" si="10"/>
        <v>163730.5</v>
      </c>
      <c r="BZ26" s="13">
        <f t="shared" si="10"/>
        <v>306411.55</v>
      </c>
    </row>
    <row r="27" spans="1:80" x14ac:dyDescent="0.2">
      <c r="C27" s="3"/>
    </row>
    <row r="28" spans="1:80" x14ac:dyDescent="0.2">
      <c r="A28" s="23" t="s">
        <v>149</v>
      </c>
      <c r="B28" s="24" t="s">
        <v>1</v>
      </c>
      <c r="C28" s="11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</row>
    <row r="29" spans="1:80" x14ac:dyDescent="0.2">
      <c r="B29" t="s">
        <v>81</v>
      </c>
      <c r="C29" s="3">
        <f>SUM(D29:BZ29)</f>
        <v>196717901.09999996</v>
      </c>
      <c r="D29" s="7">
        <v>51735525.299999997</v>
      </c>
      <c r="E29" s="7">
        <v>1851968.45</v>
      </c>
      <c r="F29" s="7">
        <v>138171.5</v>
      </c>
      <c r="G29" s="7">
        <v>107636</v>
      </c>
      <c r="H29" s="7">
        <v>937616.45</v>
      </c>
      <c r="I29" s="7">
        <v>5306127.8</v>
      </c>
      <c r="J29" s="7">
        <v>1096776.95</v>
      </c>
      <c r="K29" s="7">
        <v>66285.850000000006</v>
      </c>
      <c r="L29" s="7">
        <v>487484.45</v>
      </c>
      <c r="M29" s="7">
        <v>81745.899999999994</v>
      </c>
      <c r="N29" s="7">
        <v>106422</v>
      </c>
      <c r="O29" s="7">
        <v>1048801.55</v>
      </c>
      <c r="P29" s="7">
        <v>3604196.65</v>
      </c>
      <c r="Q29" s="7">
        <v>3399078.45</v>
      </c>
      <c r="R29" s="7">
        <v>754921.95</v>
      </c>
      <c r="S29" s="7">
        <v>2793731.9</v>
      </c>
      <c r="T29" s="7">
        <v>3266857.7</v>
      </c>
      <c r="U29" s="7">
        <v>1726777</v>
      </c>
      <c r="V29" s="7">
        <v>4729751.2</v>
      </c>
      <c r="W29" s="7">
        <v>3187098.6</v>
      </c>
      <c r="X29" s="7">
        <v>6593302.0499999998</v>
      </c>
      <c r="Y29" s="7">
        <v>1940500.15</v>
      </c>
      <c r="Z29" s="7">
        <v>381835.3</v>
      </c>
      <c r="AA29" s="7">
        <v>3799419.8</v>
      </c>
      <c r="AB29" s="7">
        <v>77993.350000000006</v>
      </c>
      <c r="AC29" s="7">
        <v>2535108.9</v>
      </c>
      <c r="AD29" s="7">
        <v>944845.4</v>
      </c>
      <c r="AE29" s="7">
        <v>6784566.75</v>
      </c>
      <c r="AF29" s="7">
        <v>682283.75</v>
      </c>
      <c r="AG29" s="7">
        <v>1070730.3</v>
      </c>
      <c r="AH29" s="7">
        <v>6391030.6500000004</v>
      </c>
      <c r="AI29" s="7">
        <v>756074.7</v>
      </c>
      <c r="AJ29" s="7">
        <v>691339.45</v>
      </c>
      <c r="AK29" s="7">
        <v>1492299.65</v>
      </c>
      <c r="AL29" s="7">
        <v>1228620.75</v>
      </c>
      <c r="AM29" s="7">
        <v>1405062</v>
      </c>
      <c r="AN29" s="7">
        <v>88777.35</v>
      </c>
      <c r="AO29" s="7">
        <v>1926303.65</v>
      </c>
      <c r="AP29" s="7">
        <v>741810.85</v>
      </c>
      <c r="AQ29" s="7">
        <v>571153.19999999995</v>
      </c>
      <c r="AR29" s="7">
        <v>234880.85</v>
      </c>
      <c r="AS29" s="7">
        <v>174353.7</v>
      </c>
      <c r="AT29" s="7">
        <v>180956.15</v>
      </c>
      <c r="AU29" s="7">
        <v>340099.25</v>
      </c>
      <c r="AV29" s="7">
        <v>539788.85</v>
      </c>
      <c r="AW29" s="7">
        <v>690339.25</v>
      </c>
      <c r="AX29" s="7">
        <v>487951.4</v>
      </c>
      <c r="AY29" s="7">
        <v>1945282.85</v>
      </c>
      <c r="AZ29" s="7">
        <v>919927.8</v>
      </c>
      <c r="BA29" s="7">
        <v>22943117.199999999</v>
      </c>
      <c r="BB29" s="7">
        <v>1745788.55</v>
      </c>
      <c r="BC29" s="7">
        <v>377764.05</v>
      </c>
      <c r="BD29" s="7">
        <v>483117.85</v>
      </c>
      <c r="BE29" s="7">
        <v>969370.6</v>
      </c>
      <c r="BF29" s="7">
        <v>1606542.5</v>
      </c>
      <c r="BG29" s="7">
        <v>145877.35</v>
      </c>
      <c r="BH29" s="7">
        <v>491282.1</v>
      </c>
      <c r="BI29" s="7">
        <v>970655.8</v>
      </c>
      <c r="BJ29" s="7">
        <v>280261.45</v>
      </c>
      <c r="BK29" s="7">
        <v>225082.4</v>
      </c>
      <c r="BL29" s="7">
        <v>2408078.15</v>
      </c>
      <c r="BM29" s="7">
        <v>1017018.95</v>
      </c>
      <c r="BN29" s="7">
        <v>876571</v>
      </c>
      <c r="BO29" s="7">
        <v>2742450.6</v>
      </c>
      <c r="BP29" s="7">
        <v>2381283.9500000002</v>
      </c>
      <c r="BQ29" s="7">
        <v>2101239.4500000002</v>
      </c>
      <c r="BR29" s="7">
        <v>11594660.15</v>
      </c>
      <c r="BS29" s="7">
        <v>887816.6</v>
      </c>
      <c r="BT29" s="7">
        <v>2004708.7</v>
      </c>
      <c r="BU29" s="7">
        <v>137635.70000000001</v>
      </c>
      <c r="BV29" s="7">
        <v>265896.5</v>
      </c>
      <c r="BW29" s="7">
        <v>6273689.3499999996</v>
      </c>
      <c r="BX29" s="7">
        <v>279807.55</v>
      </c>
      <c r="BY29" s="7">
        <v>527744.44999999995</v>
      </c>
      <c r="BZ29" s="7">
        <v>936826.4</v>
      </c>
      <c r="CB29" t="s">
        <v>107</v>
      </c>
    </row>
    <row r="30" spans="1:80" x14ac:dyDescent="0.2">
      <c r="B30" t="s">
        <v>86</v>
      </c>
      <c r="C30" s="3">
        <f>SUM(D30:BZ30)</f>
        <v>1744133.4500000009</v>
      </c>
      <c r="D30" s="7">
        <v>725118.65</v>
      </c>
      <c r="E30" s="7">
        <v>5951.7000000000007</v>
      </c>
      <c r="F30" s="7">
        <v>286.5</v>
      </c>
      <c r="G30" s="7">
        <v>5295.75</v>
      </c>
      <c r="H30" s="7">
        <v>4218.8500000000004</v>
      </c>
      <c r="I30" s="7">
        <v>12783.599999999999</v>
      </c>
      <c r="J30" s="7">
        <v>553.45000000000005</v>
      </c>
      <c r="K30" s="7">
        <v>23.35</v>
      </c>
      <c r="L30" s="7">
        <v>75.8</v>
      </c>
      <c r="M30" s="7">
        <v>63.55</v>
      </c>
      <c r="N30" s="7">
        <v>33.75</v>
      </c>
      <c r="O30" s="7">
        <v>19313</v>
      </c>
      <c r="P30" s="7">
        <v>53369.8</v>
      </c>
      <c r="Q30" s="7">
        <v>199682.45</v>
      </c>
      <c r="R30" s="7">
        <v>7691.25</v>
      </c>
      <c r="S30" s="7">
        <v>33957.050000000003</v>
      </c>
      <c r="T30" s="7">
        <v>23015</v>
      </c>
      <c r="U30" s="7">
        <v>1266</v>
      </c>
      <c r="V30" s="7">
        <v>40625</v>
      </c>
      <c r="W30" s="7">
        <v>10140.950000000001</v>
      </c>
      <c r="X30" s="7">
        <v>10731.95</v>
      </c>
      <c r="Y30" s="7">
        <v>559.1</v>
      </c>
      <c r="Z30" s="7">
        <v>500.7</v>
      </c>
      <c r="AA30" s="7">
        <v>11795.900000000001</v>
      </c>
      <c r="AB30" s="7">
        <v>23.35</v>
      </c>
      <c r="AC30" s="7">
        <v>8264.0999999999985</v>
      </c>
      <c r="AD30" s="7">
        <v>222.3</v>
      </c>
      <c r="AE30" s="7">
        <v>185.55</v>
      </c>
      <c r="AF30" s="7">
        <v>250.04999999999998</v>
      </c>
      <c r="AG30" s="7">
        <v>878.95</v>
      </c>
      <c r="AH30" s="7">
        <v>333340.05000000005</v>
      </c>
      <c r="AI30" s="7">
        <v>4694.2</v>
      </c>
      <c r="AJ30" s="7">
        <v>989.1</v>
      </c>
      <c r="AK30" s="7">
        <v>6478.1</v>
      </c>
      <c r="AL30" s="7">
        <v>95.1</v>
      </c>
      <c r="AM30" s="7">
        <v>8745.1</v>
      </c>
      <c r="AN30" s="7">
        <v>15.6</v>
      </c>
      <c r="AO30" s="7">
        <v>8501.5</v>
      </c>
      <c r="AP30" s="7">
        <v>1956.25</v>
      </c>
      <c r="AQ30" s="7">
        <v>1636.75</v>
      </c>
      <c r="AR30" s="7">
        <v>77.899999999999991</v>
      </c>
      <c r="AS30" s="7">
        <v>60.9</v>
      </c>
      <c r="AT30" s="7">
        <v>1115.95</v>
      </c>
      <c r="AU30" s="7">
        <v>160.35</v>
      </c>
      <c r="AV30" s="7">
        <v>790.35</v>
      </c>
      <c r="AW30" s="7">
        <v>6516.8499999999995</v>
      </c>
      <c r="AX30" s="7">
        <v>18797.75</v>
      </c>
      <c r="AY30" s="7">
        <v>8568.2000000000007</v>
      </c>
      <c r="AZ30" s="7">
        <v>1253.25</v>
      </c>
      <c r="BA30" s="7">
        <v>22091.85</v>
      </c>
      <c r="BB30" s="7">
        <v>29980.100000000002</v>
      </c>
      <c r="BC30" s="7">
        <v>2700.65</v>
      </c>
      <c r="BD30" s="7">
        <v>170.7</v>
      </c>
      <c r="BE30" s="7">
        <v>120.25</v>
      </c>
      <c r="BF30" s="7">
        <v>4737.3500000000004</v>
      </c>
      <c r="BG30" s="7">
        <v>2691.6</v>
      </c>
      <c r="BH30" s="7">
        <v>4756.5</v>
      </c>
      <c r="BI30" s="7">
        <v>10904</v>
      </c>
      <c r="BJ30" s="7">
        <v>627</v>
      </c>
      <c r="BK30" s="7">
        <v>59.25</v>
      </c>
      <c r="BL30" s="7">
        <v>1260.3499999999999</v>
      </c>
      <c r="BM30" s="7">
        <v>4167.75</v>
      </c>
      <c r="BN30" s="7">
        <v>5104</v>
      </c>
      <c r="BO30" s="7">
        <v>8924.7000000000007</v>
      </c>
      <c r="BP30" s="7">
        <v>1179.7</v>
      </c>
      <c r="BQ30" s="7">
        <v>1872.6999999999998</v>
      </c>
      <c r="BR30" s="7">
        <v>34827.949999999997</v>
      </c>
      <c r="BS30" s="7">
        <v>324.7</v>
      </c>
      <c r="BT30" s="7">
        <v>6373.7499999999991</v>
      </c>
      <c r="BU30" s="7">
        <v>9084.5499999999993</v>
      </c>
      <c r="BV30" s="7">
        <v>35.35</v>
      </c>
      <c r="BW30" s="7">
        <v>3819.2000000000003</v>
      </c>
      <c r="BX30" s="7">
        <v>-27.899999999999991</v>
      </c>
      <c r="BY30" s="7">
        <v>1504.8999999999999</v>
      </c>
      <c r="BZ30" s="7">
        <v>6171.85</v>
      </c>
      <c r="CB30" t="s">
        <v>107</v>
      </c>
    </row>
    <row r="31" spans="1:80" x14ac:dyDescent="0.2">
      <c r="B31" t="s">
        <v>87</v>
      </c>
      <c r="C31" s="3">
        <f>SUM(D31:BZ31)</f>
        <v>276894.84999999998</v>
      </c>
      <c r="D31" s="7">
        <v>34901.050000000003</v>
      </c>
      <c r="E31" s="7">
        <v>99.35</v>
      </c>
      <c r="F31" s="7">
        <v>0</v>
      </c>
      <c r="G31" s="7">
        <v>0</v>
      </c>
      <c r="H31" s="7">
        <v>40467.15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695.35</v>
      </c>
      <c r="R31" s="7">
        <v>0</v>
      </c>
      <c r="S31" s="7">
        <v>0</v>
      </c>
      <c r="T31" s="7">
        <v>71129.899999999994</v>
      </c>
      <c r="U31" s="7">
        <v>0</v>
      </c>
      <c r="V31" s="7">
        <v>2195.5</v>
      </c>
      <c r="W31" s="7">
        <v>0</v>
      </c>
      <c r="X31" s="7">
        <v>30011.75</v>
      </c>
      <c r="Y31" s="7">
        <v>0</v>
      </c>
      <c r="Z31" s="7">
        <v>0</v>
      </c>
      <c r="AA31" s="7">
        <v>7504.05</v>
      </c>
      <c r="AB31" s="7">
        <v>0</v>
      </c>
      <c r="AC31" s="7">
        <v>0</v>
      </c>
      <c r="AD31" s="7">
        <v>0</v>
      </c>
      <c r="AE31" s="7">
        <v>30470.2</v>
      </c>
      <c r="AF31" s="7">
        <v>0</v>
      </c>
      <c r="AG31" s="7">
        <v>0</v>
      </c>
      <c r="AH31" s="7">
        <v>1675.25</v>
      </c>
      <c r="AI31" s="7">
        <v>12480.6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38161.65</v>
      </c>
      <c r="BB31" s="7">
        <v>0</v>
      </c>
      <c r="BC31" s="7">
        <v>0</v>
      </c>
      <c r="BD31" s="7">
        <v>0</v>
      </c>
      <c r="BE31" s="7">
        <v>0</v>
      </c>
      <c r="BF31" s="7">
        <v>867.3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6235.75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0</v>
      </c>
      <c r="BX31" s="7"/>
      <c r="BY31" s="7">
        <v>0</v>
      </c>
      <c r="BZ31" s="7">
        <v>0</v>
      </c>
      <c r="CB31" t="s">
        <v>107</v>
      </c>
    </row>
    <row r="32" spans="1:80" s="19" customFormat="1" x14ac:dyDescent="0.2">
      <c r="B32" s="19" t="s">
        <v>90</v>
      </c>
      <c r="C32" s="13">
        <f>SUM(D32:BZ32)</f>
        <v>194696872.80000001</v>
      </c>
      <c r="D32" s="13">
        <f>D29-D30-D31</f>
        <v>50975505.600000001</v>
      </c>
      <c r="E32" s="13">
        <f t="shared" ref="E32:BN32" si="11">E29-E30-E31</f>
        <v>1845917.4</v>
      </c>
      <c r="F32" s="13">
        <f t="shared" si="11"/>
        <v>137885</v>
      </c>
      <c r="G32" s="13">
        <f t="shared" si="11"/>
        <v>102340.25</v>
      </c>
      <c r="H32" s="13">
        <f t="shared" si="11"/>
        <v>892930.45</v>
      </c>
      <c r="I32" s="13">
        <f t="shared" si="11"/>
        <v>5293344.2</v>
      </c>
      <c r="J32" s="13">
        <f t="shared" si="11"/>
        <v>1096223.5</v>
      </c>
      <c r="K32" s="13">
        <f t="shared" si="11"/>
        <v>66262.5</v>
      </c>
      <c r="L32" s="13">
        <f t="shared" si="11"/>
        <v>487408.65</v>
      </c>
      <c r="M32" s="13">
        <f t="shared" si="11"/>
        <v>81682.349999999991</v>
      </c>
      <c r="N32" s="13">
        <f t="shared" si="11"/>
        <v>106388.25</v>
      </c>
      <c r="O32" s="13">
        <f t="shared" si="11"/>
        <v>1029488.55</v>
      </c>
      <c r="P32" s="13">
        <f t="shared" si="11"/>
        <v>3550826.85</v>
      </c>
      <c r="Q32" s="13">
        <f t="shared" si="11"/>
        <v>3198700.65</v>
      </c>
      <c r="R32" s="13">
        <f t="shared" si="11"/>
        <v>747230.7</v>
      </c>
      <c r="S32" s="13">
        <f t="shared" si="11"/>
        <v>2759774.85</v>
      </c>
      <c r="T32" s="13">
        <f t="shared" si="11"/>
        <v>3172712.8000000003</v>
      </c>
      <c r="U32" s="13">
        <f t="shared" si="11"/>
        <v>1725511</v>
      </c>
      <c r="V32" s="13">
        <f t="shared" si="11"/>
        <v>4686930.7</v>
      </c>
      <c r="W32" s="13">
        <f t="shared" si="11"/>
        <v>3176957.65</v>
      </c>
      <c r="X32" s="13">
        <f t="shared" si="11"/>
        <v>6552558.3499999996</v>
      </c>
      <c r="Y32" s="13">
        <f t="shared" si="11"/>
        <v>1939941.0499999998</v>
      </c>
      <c r="Z32" s="13">
        <f t="shared" si="11"/>
        <v>381334.6</v>
      </c>
      <c r="AA32" s="13">
        <f t="shared" si="11"/>
        <v>3780119.85</v>
      </c>
      <c r="AB32" s="13">
        <f t="shared" si="11"/>
        <v>77970</v>
      </c>
      <c r="AC32" s="13">
        <f t="shared" si="11"/>
        <v>2526844.7999999998</v>
      </c>
      <c r="AD32" s="13">
        <f t="shared" si="11"/>
        <v>944623.1</v>
      </c>
      <c r="AE32" s="13">
        <f t="shared" si="11"/>
        <v>6753911</v>
      </c>
      <c r="AF32" s="13">
        <f t="shared" si="11"/>
        <v>682033.7</v>
      </c>
      <c r="AG32" s="13">
        <f t="shared" si="11"/>
        <v>1069851.3500000001</v>
      </c>
      <c r="AH32" s="13">
        <f t="shared" si="11"/>
        <v>6056015.3500000006</v>
      </c>
      <c r="AI32" s="13">
        <f t="shared" si="11"/>
        <v>738899.9</v>
      </c>
      <c r="AJ32" s="13">
        <f t="shared" si="11"/>
        <v>690350.35</v>
      </c>
      <c r="AK32" s="13">
        <f t="shared" si="11"/>
        <v>1485821.5499999998</v>
      </c>
      <c r="AL32" s="13">
        <f t="shared" si="11"/>
        <v>1228525.6499999999</v>
      </c>
      <c r="AM32" s="13">
        <f t="shared" si="11"/>
        <v>1396316.9</v>
      </c>
      <c r="AN32" s="13">
        <f t="shared" si="11"/>
        <v>88761.75</v>
      </c>
      <c r="AO32" s="13">
        <f t="shared" si="11"/>
        <v>1917802.15</v>
      </c>
      <c r="AP32" s="13">
        <f t="shared" si="11"/>
        <v>739854.6</v>
      </c>
      <c r="AQ32" s="13">
        <f t="shared" si="11"/>
        <v>569516.44999999995</v>
      </c>
      <c r="AR32" s="13">
        <f t="shared" si="11"/>
        <v>234802.95</v>
      </c>
      <c r="AS32" s="13">
        <f t="shared" si="11"/>
        <v>174292.80000000002</v>
      </c>
      <c r="AT32" s="13">
        <f t="shared" si="11"/>
        <v>179840.19999999998</v>
      </c>
      <c r="AU32" s="13">
        <f t="shared" si="11"/>
        <v>339938.9</v>
      </c>
      <c r="AV32" s="13">
        <f t="shared" si="11"/>
        <v>538998.5</v>
      </c>
      <c r="AW32" s="13">
        <f t="shared" si="11"/>
        <v>683822.4</v>
      </c>
      <c r="AX32" s="13">
        <f t="shared" si="11"/>
        <v>469153.65</v>
      </c>
      <c r="AY32" s="13">
        <f t="shared" si="11"/>
        <v>1936714.6500000001</v>
      </c>
      <c r="AZ32" s="13">
        <f t="shared" si="11"/>
        <v>918674.55</v>
      </c>
      <c r="BA32" s="13">
        <f t="shared" si="11"/>
        <v>22882863.699999999</v>
      </c>
      <c r="BB32" s="13">
        <f t="shared" si="11"/>
        <v>1715808.45</v>
      </c>
      <c r="BC32" s="13">
        <f t="shared" si="11"/>
        <v>375063.39999999997</v>
      </c>
      <c r="BD32" s="13">
        <f t="shared" si="11"/>
        <v>482947.14999999997</v>
      </c>
      <c r="BE32" s="13">
        <f t="shared" si="11"/>
        <v>969250.35</v>
      </c>
      <c r="BF32" s="13">
        <f t="shared" si="11"/>
        <v>1600937.8499999999</v>
      </c>
      <c r="BG32" s="13">
        <f t="shared" si="11"/>
        <v>143185.75</v>
      </c>
      <c r="BH32" s="13">
        <f t="shared" si="11"/>
        <v>486525.6</v>
      </c>
      <c r="BI32" s="13">
        <f t="shared" si="11"/>
        <v>959751.8</v>
      </c>
      <c r="BJ32" s="13">
        <f t="shared" si="11"/>
        <v>279634.45</v>
      </c>
      <c r="BK32" s="13">
        <f t="shared" si="11"/>
        <v>225023.15</v>
      </c>
      <c r="BL32" s="13">
        <f t="shared" si="11"/>
        <v>2406817.7999999998</v>
      </c>
      <c r="BM32" s="13">
        <f t="shared" si="11"/>
        <v>1012851.2</v>
      </c>
      <c r="BN32" s="13">
        <f t="shared" si="11"/>
        <v>871467</v>
      </c>
      <c r="BO32" s="13">
        <f t="shared" ref="BO32:BZ32" si="12">BO29-BO30-BO31</f>
        <v>2733525.9</v>
      </c>
      <c r="BP32" s="13">
        <f t="shared" si="12"/>
        <v>2373868.5</v>
      </c>
      <c r="BQ32" s="13">
        <f t="shared" si="12"/>
        <v>2099366.75</v>
      </c>
      <c r="BR32" s="13">
        <f t="shared" si="12"/>
        <v>11559832.200000001</v>
      </c>
      <c r="BS32" s="13">
        <f t="shared" si="12"/>
        <v>887491.9</v>
      </c>
      <c r="BT32" s="13">
        <f t="shared" si="12"/>
        <v>1998334.95</v>
      </c>
      <c r="BU32" s="13">
        <f t="shared" si="12"/>
        <v>128551.15000000001</v>
      </c>
      <c r="BV32" s="13">
        <f t="shared" si="12"/>
        <v>265861.15000000002</v>
      </c>
      <c r="BW32" s="13">
        <f t="shared" si="12"/>
        <v>6269870.1499999994</v>
      </c>
      <c r="BX32" s="13">
        <f t="shared" si="12"/>
        <v>279835.45</v>
      </c>
      <c r="BY32" s="13">
        <f t="shared" si="12"/>
        <v>526239.54999999993</v>
      </c>
      <c r="BZ32" s="13">
        <f t="shared" si="12"/>
        <v>930654.55</v>
      </c>
    </row>
    <row r="33" spans="1:80" x14ac:dyDescent="0.2">
      <c r="C33" s="13"/>
    </row>
    <row r="34" spans="1:80" x14ac:dyDescent="0.2">
      <c r="A34" s="23" t="s">
        <v>150</v>
      </c>
      <c r="B34" s="24" t="s">
        <v>84</v>
      </c>
      <c r="C34" s="1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</row>
    <row r="35" spans="1:80" x14ac:dyDescent="0.2">
      <c r="B35" t="s">
        <v>91</v>
      </c>
      <c r="C35" s="29">
        <f>C39/C41</f>
        <v>0.69112917250316652</v>
      </c>
      <c r="D35" s="10">
        <v>0.8</v>
      </c>
      <c r="E35" s="10">
        <v>0.8</v>
      </c>
      <c r="F35" s="10">
        <v>0.8</v>
      </c>
      <c r="G35" s="10">
        <v>0.8</v>
      </c>
      <c r="H35" s="10">
        <v>0.2</v>
      </c>
      <c r="I35" s="10">
        <v>0.4</v>
      </c>
      <c r="J35" s="10">
        <v>0.6</v>
      </c>
      <c r="K35" s="121">
        <v>0.3</v>
      </c>
      <c r="L35" s="10">
        <v>0.2</v>
      </c>
      <c r="M35" s="10">
        <v>0.8</v>
      </c>
      <c r="N35" s="10">
        <v>0.8</v>
      </c>
      <c r="O35" s="10">
        <v>0.8</v>
      </c>
      <c r="P35" s="10">
        <v>0.8</v>
      </c>
      <c r="Q35" s="10">
        <v>0.4</v>
      </c>
      <c r="R35" s="10">
        <v>0.8</v>
      </c>
      <c r="S35" s="10">
        <v>0.8</v>
      </c>
      <c r="T35" s="10">
        <v>0.4</v>
      </c>
      <c r="U35" s="10">
        <v>0.8</v>
      </c>
      <c r="V35" s="10">
        <v>0.6</v>
      </c>
      <c r="W35" s="10">
        <v>0.6</v>
      </c>
      <c r="X35" s="10">
        <v>0.8</v>
      </c>
      <c r="Y35" s="10">
        <v>0.8</v>
      </c>
      <c r="Z35" s="10">
        <v>0.8</v>
      </c>
      <c r="AA35" s="10">
        <v>0.8</v>
      </c>
      <c r="AB35" s="10">
        <v>0.8</v>
      </c>
      <c r="AC35" s="10">
        <v>0.8</v>
      </c>
      <c r="AD35" s="10">
        <v>0.8</v>
      </c>
      <c r="AE35" s="10">
        <v>0.8</v>
      </c>
      <c r="AF35" s="10">
        <v>0.8</v>
      </c>
      <c r="AG35" s="10">
        <v>0.8</v>
      </c>
      <c r="AH35" s="10">
        <v>0.7</v>
      </c>
      <c r="AI35" s="10">
        <v>0.8</v>
      </c>
      <c r="AJ35" s="10">
        <v>0.7</v>
      </c>
      <c r="AK35" s="10">
        <v>0.8</v>
      </c>
      <c r="AL35" s="10">
        <v>0.8</v>
      </c>
      <c r="AM35" s="10">
        <v>0.8</v>
      </c>
      <c r="AN35" s="10">
        <v>0.8</v>
      </c>
      <c r="AO35" s="10">
        <v>0.8</v>
      </c>
      <c r="AP35" s="10">
        <v>0.8</v>
      </c>
      <c r="AQ35" s="10">
        <v>0.8</v>
      </c>
      <c r="AR35" s="10">
        <v>0.8</v>
      </c>
      <c r="AS35" s="10">
        <v>0.8</v>
      </c>
      <c r="AT35" s="10">
        <v>0.8</v>
      </c>
      <c r="AU35" s="10">
        <v>0.8</v>
      </c>
      <c r="AV35" s="10">
        <v>0.8</v>
      </c>
      <c r="AW35" s="10">
        <v>0.8</v>
      </c>
      <c r="AX35" s="10">
        <v>0.8</v>
      </c>
      <c r="AY35" s="10">
        <v>0.8</v>
      </c>
      <c r="AZ35" s="10">
        <v>0.8</v>
      </c>
      <c r="BA35" s="10">
        <v>0.3</v>
      </c>
      <c r="BB35" s="10">
        <v>0.8</v>
      </c>
      <c r="BC35" s="10">
        <v>0.8</v>
      </c>
      <c r="BD35" s="10">
        <v>0.8</v>
      </c>
      <c r="BE35" s="10">
        <v>0.8</v>
      </c>
      <c r="BF35" s="10">
        <v>0.8</v>
      </c>
      <c r="BG35" s="10">
        <v>0.8</v>
      </c>
      <c r="BH35" s="10">
        <v>0.8</v>
      </c>
      <c r="BI35" s="10">
        <v>0.8</v>
      </c>
      <c r="BJ35" s="10">
        <v>0.8</v>
      </c>
      <c r="BK35" s="10">
        <v>0.5</v>
      </c>
      <c r="BL35" s="10">
        <v>0.8</v>
      </c>
      <c r="BM35" s="10">
        <v>0.6</v>
      </c>
      <c r="BN35" s="10">
        <v>0.8</v>
      </c>
      <c r="BO35" s="10">
        <v>0.6</v>
      </c>
      <c r="BP35" s="10">
        <v>0.8</v>
      </c>
      <c r="BQ35" s="10">
        <v>0.8</v>
      </c>
      <c r="BR35" s="10">
        <v>0.6</v>
      </c>
      <c r="BS35" s="10">
        <v>0.4</v>
      </c>
      <c r="BT35" s="10">
        <v>0.3</v>
      </c>
      <c r="BU35" s="10">
        <v>0.8</v>
      </c>
      <c r="BV35" s="10">
        <v>0.4</v>
      </c>
      <c r="BW35" s="10">
        <v>0.6</v>
      </c>
      <c r="BX35" s="10">
        <v>0.6</v>
      </c>
      <c r="BY35" s="10">
        <v>0.8</v>
      </c>
      <c r="BZ35" s="10">
        <v>0.8</v>
      </c>
      <c r="CB35" t="s">
        <v>109</v>
      </c>
    </row>
    <row r="36" spans="1:80" x14ac:dyDescent="0.2">
      <c r="B36" s="30"/>
      <c r="C36" s="13"/>
    </row>
    <row r="37" spans="1:80" x14ac:dyDescent="0.2">
      <c r="B37" t="s">
        <v>81</v>
      </c>
      <c r="C37" s="3">
        <f>SUM(D37:BZ37)</f>
        <v>100266326.14</v>
      </c>
      <c r="D37" s="121">
        <v>18512651.09</v>
      </c>
      <c r="E37" s="10">
        <v>1780474.01</v>
      </c>
      <c r="F37" s="10">
        <v>283322.3</v>
      </c>
      <c r="G37" s="10">
        <v>234635.38</v>
      </c>
      <c r="H37" s="10">
        <v>267882.25</v>
      </c>
      <c r="I37" s="10">
        <v>1053279.56</v>
      </c>
      <c r="J37" s="10">
        <v>637408.6</v>
      </c>
      <c r="K37" s="10">
        <v>76910.55</v>
      </c>
      <c r="L37" s="10">
        <v>107284.6</v>
      </c>
      <c r="M37" s="10">
        <v>219593.60000000001</v>
      </c>
      <c r="N37" s="10">
        <v>457627.45</v>
      </c>
      <c r="O37" s="10">
        <v>1630432.43</v>
      </c>
      <c r="P37" s="10">
        <v>1816702</v>
      </c>
      <c r="Q37" s="10">
        <v>857414.43</v>
      </c>
      <c r="R37" s="10">
        <v>669667.94999999995</v>
      </c>
      <c r="S37" s="10">
        <v>1353130.4</v>
      </c>
      <c r="T37" s="10">
        <v>917110.62</v>
      </c>
      <c r="U37" s="10">
        <v>955143</v>
      </c>
      <c r="V37" s="10">
        <v>975038.09</v>
      </c>
      <c r="W37" s="10">
        <v>1191401.99</v>
      </c>
      <c r="X37" s="10">
        <v>2521156.2999999998</v>
      </c>
      <c r="Y37" s="10">
        <v>899418</v>
      </c>
      <c r="Z37" s="10">
        <v>431941.52</v>
      </c>
      <c r="AA37" s="10">
        <v>2539434.4300000002</v>
      </c>
      <c r="AB37" s="10">
        <v>313713.40999999997</v>
      </c>
      <c r="AC37" s="10">
        <v>2026651.4</v>
      </c>
      <c r="AD37" s="10">
        <v>549140.4</v>
      </c>
      <c r="AE37" s="10">
        <v>1487998.52</v>
      </c>
      <c r="AF37" s="10">
        <v>690442.75</v>
      </c>
      <c r="AG37" s="10">
        <v>1403538.6</v>
      </c>
      <c r="AH37" s="10">
        <v>2515904.34</v>
      </c>
      <c r="AI37" s="10">
        <v>1022565.8</v>
      </c>
      <c r="AJ37" s="10">
        <v>916765.95</v>
      </c>
      <c r="AK37" s="10">
        <v>1263953.3500000001</v>
      </c>
      <c r="AL37" s="10">
        <v>1083238</v>
      </c>
      <c r="AM37" s="10">
        <v>1730249</v>
      </c>
      <c r="AN37" s="10">
        <v>431544.8</v>
      </c>
      <c r="AO37" s="10">
        <v>1994656.1</v>
      </c>
      <c r="AP37" s="10">
        <v>1254850.57</v>
      </c>
      <c r="AQ37" s="10">
        <v>1203982.3400000001</v>
      </c>
      <c r="AR37" s="10">
        <v>969530.65</v>
      </c>
      <c r="AS37" s="10">
        <v>544183.1</v>
      </c>
      <c r="AT37" s="10">
        <v>437241.32</v>
      </c>
      <c r="AU37" s="10">
        <v>740692.8</v>
      </c>
      <c r="AV37" s="10">
        <v>586055.1</v>
      </c>
      <c r="AW37" s="10">
        <v>906937.35</v>
      </c>
      <c r="AX37" s="10">
        <v>1320913.75</v>
      </c>
      <c r="AY37" s="10">
        <v>1420098.88</v>
      </c>
      <c r="AZ37" s="10">
        <v>937118.27</v>
      </c>
      <c r="BA37" s="10">
        <v>3065693.35</v>
      </c>
      <c r="BB37" s="10">
        <v>2193019.71</v>
      </c>
      <c r="BC37" s="10">
        <v>848078.5</v>
      </c>
      <c r="BD37" s="10">
        <v>662278.25</v>
      </c>
      <c r="BE37" s="10">
        <v>941286.15</v>
      </c>
      <c r="BF37" s="10">
        <v>1557349.87</v>
      </c>
      <c r="BG37" s="10">
        <v>333814.01</v>
      </c>
      <c r="BH37" s="10">
        <v>1009730.7</v>
      </c>
      <c r="BI37" s="10">
        <v>915781.15</v>
      </c>
      <c r="BJ37" s="10">
        <v>274007.03000000003</v>
      </c>
      <c r="BK37" s="10">
        <v>290884.69</v>
      </c>
      <c r="BL37" s="10">
        <v>1904333.66</v>
      </c>
      <c r="BM37" s="10">
        <v>725284.06</v>
      </c>
      <c r="BN37" s="10">
        <v>1220383.3500000001</v>
      </c>
      <c r="BO37" s="10">
        <v>1975669.19</v>
      </c>
      <c r="BP37" s="10">
        <v>1770076.15</v>
      </c>
      <c r="BQ37" s="10">
        <v>679757.75</v>
      </c>
      <c r="BR37" s="121">
        <v>4068564.35</v>
      </c>
      <c r="BS37" s="10">
        <v>608470.15</v>
      </c>
      <c r="BT37" s="10">
        <v>411485.5</v>
      </c>
      <c r="BU37" s="10">
        <v>313732.21000000002</v>
      </c>
      <c r="BV37" s="10">
        <v>319433.25</v>
      </c>
      <c r="BW37" s="121">
        <v>3080687.65</v>
      </c>
      <c r="BX37" s="10">
        <v>315900.27</v>
      </c>
      <c r="BY37" s="10">
        <v>722950.09</v>
      </c>
      <c r="BZ37" s="10">
        <v>1916648</v>
      </c>
      <c r="CB37" t="s">
        <v>108</v>
      </c>
    </row>
    <row r="38" spans="1:80" x14ac:dyDescent="0.2">
      <c r="B38" t="s">
        <v>82</v>
      </c>
      <c r="C38" s="3">
        <f>SUM(D38:BZ38)</f>
        <v>16646.189999999995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36</v>
      </c>
      <c r="O38" s="10">
        <v>0</v>
      </c>
      <c r="P38" s="10">
        <v>0</v>
      </c>
      <c r="Q38" s="10">
        <v>205.18</v>
      </c>
      <c r="R38" s="10">
        <v>0</v>
      </c>
      <c r="S38" s="10">
        <v>5716.35</v>
      </c>
      <c r="T38" s="10">
        <v>0</v>
      </c>
      <c r="U38" s="10">
        <v>0</v>
      </c>
      <c r="V38" s="10">
        <v>0</v>
      </c>
      <c r="W38" s="10">
        <v>1.3</v>
      </c>
      <c r="X38" s="10">
        <v>0</v>
      </c>
      <c r="Y38" s="10">
        <v>0</v>
      </c>
      <c r="Z38" s="10">
        <v>0</v>
      </c>
      <c r="AA38" s="10">
        <v>1103.3399999999999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6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0.95</v>
      </c>
      <c r="AQ38" s="10">
        <v>2.25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196.15</v>
      </c>
      <c r="BC38" s="10">
        <v>6416.8</v>
      </c>
      <c r="BD38" s="10">
        <v>2.6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20.8</v>
      </c>
      <c r="BK38" s="10">
        <v>36.06</v>
      </c>
      <c r="BL38" s="10">
        <v>383.96</v>
      </c>
      <c r="BM38" s="10">
        <v>0</v>
      </c>
      <c r="BN38" s="10">
        <v>0</v>
      </c>
      <c r="BO38" s="10">
        <v>2279.8000000000002</v>
      </c>
      <c r="BP38" s="10">
        <v>238.55</v>
      </c>
      <c r="BQ38" s="10">
        <v>0</v>
      </c>
      <c r="BR38" s="10">
        <v>0</v>
      </c>
      <c r="BS38" s="10">
        <v>0</v>
      </c>
      <c r="BT38" s="10">
        <v>0.1</v>
      </c>
      <c r="BU38" s="10">
        <v>0</v>
      </c>
      <c r="BV38" s="10">
        <v>0</v>
      </c>
      <c r="BW38" s="10">
        <v>0</v>
      </c>
      <c r="BX38" s="10">
        <v>0</v>
      </c>
      <c r="BY38" s="10">
        <v>0</v>
      </c>
      <c r="BZ38" s="10">
        <v>0</v>
      </c>
      <c r="CB38" t="s">
        <v>108</v>
      </c>
    </row>
    <row r="39" spans="1:80" x14ac:dyDescent="0.2">
      <c r="B39" t="s">
        <v>83</v>
      </c>
      <c r="C39" s="3">
        <f>SUM(D39:BZ39)</f>
        <v>100249679.95000003</v>
      </c>
      <c r="D39" s="3">
        <f>D37-D38</f>
        <v>18512651.09</v>
      </c>
      <c r="E39" s="3">
        <f t="shared" ref="E39:BN39" si="13">E37-E38</f>
        <v>1780474.01</v>
      </c>
      <c r="F39" s="3">
        <f t="shared" si="13"/>
        <v>283322.3</v>
      </c>
      <c r="G39" s="3">
        <f t="shared" si="13"/>
        <v>234635.38</v>
      </c>
      <c r="H39" s="3">
        <f t="shared" si="13"/>
        <v>267882.25</v>
      </c>
      <c r="I39" s="3">
        <f t="shared" si="13"/>
        <v>1053279.56</v>
      </c>
      <c r="J39" s="3">
        <f t="shared" si="13"/>
        <v>637408.6</v>
      </c>
      <c r="K39" s="3">
        <f t="shared" si="13"/>
        <v>76910.55</v>
      </c>
      <c r="L39" s="3">
        <f t="shared" si="13"/>
        <v>107284.6</v>
      </c>
      <c r="M39" s="3">
        <f t="shared" si="13"/>
        <v>219593.60000000001</v>
      </c>
      <c r="N39" s="3">
        <f t="shared" si="13"/>
        <v>457591.45</v>
      </c>
      <c r="O39" s="3">
        <f t="shared" si="13"/>
        <v>1630432.43</v>
      </c>
      <c r="P39" s="3">
        <f t="shared" si="13"/>
        <v>1816702</v>
      </c>
      <c r="Q39" s="3">
        <f t="shared" si="13"/>
        <v>857209.25</v>
      </c>
      <c r="R39" s="3">
        <f t="shared" si="13"/>
        <v>669667.94999999995</v>
      </c>
      <c r="S39" s="3">
        <f t="shared" si="13"/>
        <v>1347414.0499999998</v>
      </c>
      <c r="T39" s="3">
        <f t="shared" si="13"/>
        <v>917110.62</v>
      </c>
      <c r="U39" s="3">
        <f t="shared" si="13"/>
        <v>955143</v>
      </c>
      <c r="V39" s="3">
        <f t="shared" si="13"/>
        <v>975038.09</v>
      </c>
      <c r="W39" s="3">
        <f t="shared" si="13"/>
        <v>1191400.69</v>
      </c>
      <c r="X39" s="3">
        <f t="shared" si="13"/>
        <v>2521156.2999999998</v>
      </c>
      <c r="Y39" s="3">
        <f t="shared" si="13"/>
        <v>899418</v>
      </c>
      <c r="Z39" s="3">
        <f t="shared" si="13"/>
        <v>431941.52</v>
      </c>
      <c r="AA39" s="3">
        <f t="shared" si="13"/>
        <v>2538331.0900000003</v>
      </c>
      <c r="AB39" s="3">
        <f t="shared" si="13"/>
        <v>313713.40999999997</v>
      </c>
      <c r="AC39" s="3">
        <f t="shared" si="13"/>
        <v>2026651.4</v>
      </c>
      <c r="AD39" s="3">
        <f t="shared" si="13"/>
        <v>549140.4</v>
      </c>
      <c r="AE39" s="3">
        <f t="shared" si="13"/>
        <v>1487998.52</v>
      </c>
      <c r="AF39" s="3">
        <f t="shared" si="13"/>
        <v>690442.75</v>
      </c>
      <c r="AG39" s="3">
        <f t="shared" si="13"/>
        <v>1403538.6</v>
      </c>
      <c r="AH39" s="3">
        <f t="shared" si="13"/>
        <v>2515898.34</v>
      </c>
      <c r="AI39" s="3">
        <f t="shared" si="13"/>
        <v>1022565.8</v>
      </c>
      <c r="AJ39" s="3">
        <f t="shared" si="13"/>
        <v>916765.95</v>
      </c>
      <c r="AK39" s="3">
        <f t="shared" si="13"/>
        <v>1263953.3500000001</v>
      </c>
      <c r="AL39" s="3">
        <f t="shared" si="13"/>
        <v>1083238</v>
      </c>
      <c r="AM39" s="3">
        <f t="shared" si="13"/>
        <v>1730249</v>
      </c>
      <c r="AN39" s="3">
        <f t="shared" si="13"/>
        <v>431544.8</v>
      </c>
      <c r="AO39" s="3">
        <f t="shared" si="13"/>
        <v>1994656.1</v>
      </c>
      <c r="AP39" s="3">
        <f t="shared" si="13"/>
        <v>1254849.6200000001</v>
      </c>
      <c r="AQ39" s="3">
        <f t="shared" si="13"/>
        <v>1203980.0900000001</v>
      </c>
      <c r="AR39" s="3">
        <f t="shared" si="13"/>
        <v>969530.65</v>
      </c>
      <c r="AS39" s="3">
        <f t="shared" si="13"/>
        <v>544183.1</v>
      </c>
      <c r="AT39" s="3">
        <f t="shared" si="13"/>
        <v>437241.32</v>
      </c>
      <c r="AU39" s="3">
        <f t="shared" si="13"/>
        <v>740692.8</v>
      </c>
      <c r="AV39" s="3">
        <f t="shared" si="13"/>
        <v>586055.1</v>
      </c>
      <c r="AW39" s="3">
        <f t="shared" si="13"/>
        <v>906937.35</v>
      </c>
      <c r="AX39" s="3">
        <f t="shared" si="13"/>
        <v>1320913.75</v>
      </c>
      <c r="AY39" s="3">
        <f t="shared" si="13"/>
        <v>1420098.88</v>
      </c>
      <c r="AZ39" s="3">
        <f t="shared" si="13"/>
        <v>937118.27</v>
      </c>
      <c r="BA39" s="3">
        <f t="shared" si="13"/>
        <v>3065693.35</v>
      </c>
      <c r="BB39" s="3">
        <f t="shared" si="13"/>
        <v>2192823.56</v>
      </c>
      <c r="BC39" s="3">
        <f t="shared" si="13"/>
        <v>841661.7</v>
      </c>
      <c r="BD39" s="3">
        <f t="shared" si="13"/>
        <v>662275.65</v>
      </c>
      <c r="BE39" s="3">
        <f t="shared" si="13"/>
        <v>941286.15</v>
      </c>
      <c r="BF39" s="3">
        <f t="shared" si="13"/>
        <v>1557349.87</v>
      </c>
      <c r="BG39" s="3">
        <f t="shared" si="13"/>
        <v>333814.01</v>
      </c>
      <c r="BH39" s="3">
        <f t="shared" ref="BH39" si="14">BH37-BH38</f>
        <v>1009730.7</v>
      </c>
      <c r="BI39" s="3">
        <f t="shared" si="13"/>
        <v>915781.15</v>
      </c>
      <c r="BJ39" s="3">
        <f t="shared" si="13"/>
        <v>273986.23000000004</v>
      </c>
      <c r="BK39" s="3">
        <f t="shared" si="13"/>
        <v>290848.63</v>
      </c>
      <c r="BL39" s="3">
        <f t="shared" si="13"/>
        <v>1903949.7</v>
      </c>
      <c r="BM39" s="3">
        <f t="shared" si="13"/>
        <v>725284.06</v>
      </c>
      <c r="BN39" s="3">
        <f t="shared" si="13"/>
        <v>1220383.3500000001</v>
      </c>
      <c r="BO39" s="3">
        <f t="shared" ref="BO39:BZ39" si="15">BO37-BO38</f>
        <v>1973389.39</v>
      </c>
      <c r="BP39" s="3">
        <f t="shared" si="15"/>
        <v>1769837.5999999999</v>
      </c>
      <c r="BQ39" s="3">
        <f t="shared" si="15"/>
        <v>679757.75</v>
      </c>
      <c r="BR39" s="3">
        <f t="shared" si="15"/>
        <v>4068564.35</v>
      </c>
      <c r="BS39" s="3">
        <f t="shared" si="15"/>
        <v>608470.15</v>
      </c>
      <c r="BT39" s="3">
        <f t="shared" si="15"/>
        <v>411485.4</v>
      </c>
      <c r="BU39" s="3">
        <f t="shared" si="15"/>
        <v>313732.21000000002</v>
      </c>
      <c r="BV39" s="3">
        <f t="shared" si="15"/>
        <v>319433.25</v>
      </c>
      <c r="BW39" s="3">
        <f t="shared" si="15"/>
        <v>3080687.65</v>
      </c>
      <c r="BX39" s="3">
        <f t="shared" si="15"/>
        <v>315900.27</v>
      </c>
      <c r="BY39" s="3">
        <f t="shared" si="15"/>
        <v>722950.09</v>
      </c>
      <c r="BZ39" s="3">
        <f t="shared" si="15"/>
        <v>1916648</v>
      </c>
    </row>
    <row r="40" spans="1:80" x14ac:dyDescent="0.2">
      <c r="C40" s="3"/>
    </row>
    <row r="41" spans="1:80" x14ac:dyDescent="0.2">
      <c r="B41" t="s">
        <v>92</v>
      </c>
      <c r="C41" s="3">
        <f>SUM(D41:BZ41)</f>
        <v>145052016.23440474</v>
      </c>
      <c r="D41" s="3">
        <f>D39/D35</f>
        <v>23140813.862499997</v>
      </c>
      <c r="E41" s="3">
        <f t="shared" ref="E41:BN41" si="16">E39/E35</f>
        <v>2225592.5124999997</v>
      </c>
      <c r="F41" s="3">
        <f t="shared" si="16"/>
        <v>354152.87499999994</v>
      </c>
      <c r="G41" s="3">
        <f t="shared" si="16"/>
        <v>293294.22499999998</v>
      </c>
      <c r="H41" s="3">
        <f t="shared" si="16"/>
        <v>1339411.25</v>
      </c>
      <c r="I41" s="3">
        <f t="shared" si="16"/>
        <v>2633198.9</v>
      </c>
      <c r="J41" s="3">
        <f t="shared" si="16"/>
        <v>1062347.6666666667</v>
      </c>
      <c r="K41" s="3">
        <f t="shared" si="16"/>
        <v>256368.50000000003</v>
      </c>
      <c r="L41" s="3">
        <f t="shared" si="16"/>
        <v>536423</v>
      </c>
      <c r="M41" s="3">
        <f t="shared" si="16"/>
        <v>274492</v>
      </c>
      <c r="N41" s="3">
        <f t="shared" si="16"/>
        <v>571989.3125</v>
      </c>
      <c r="O41" s="3">
        <f t="shared" si="16"/>
        <v>2038040.5374999999</v>
      </c>
      <c r="P41" s="3">
        <f t="shared" si="16"/>
        <v>2270877.5</v>
      </c>
      <c r="Q41" s="3">
        <f t="shared" si="16"/>
        <v>2143023.125</v>
      </c>
      <c r="R41" s="3">
        <f t="shared" si="16"/>
        <v>837084.93749999988</v>
      </c>
      <c r="S41" s="3">
        <f t="shared" si="16"/>
        <v>1684267.5624999998</v>
      </c>
      <c r="T41" s="3">
        <f t="shared" si="16"/>
        <v>2292776.5499999998</v>
      </c>
      <c r="U41" s="3">
        <f t="shared" si="16"/>
        <v>1193928.75</v>
      </c>
      <c r="V41" s="3">
        <f t="shared" si="16"/>
        <v>1625063.4833333334</v>
      </c>
      <c r="W41" s="3">
        <f t="shared" si="16"/>
        <v>1985667.8166666667</v>
      </c>
      <c r="X41" s="3">
        <f t="shared" si="16"/>
        <v>3151445.3749999995</v>
      </c>
      <c r="Y41" s="3">
        <f t="shared" si="16"/>
        <v>1124272.5</v>
      </c>
      <c r="Z41" s="3">
        <f t="shared" si="16"/>
        <v>539926.9</v>
      </c>
      <c r="AA41" s="3">
        <f t="shared" si="16"/>
        <v>3172913.8625000003</v>
      </c>
      <c r="AB41" s="3">
        <f t="shared" si="16"/>
        <v>392141.76249999995</v>
      </c>
      <c r="AC41" s="3">
        <f t="shared" si="16"/>
        <v>2533314.2499999995</v>
      </c>
      <c r="AD41" s="3">
        <f t="shared" si="16"/>
        <v>686425.5</v>
      </c>
      <c r="AE41" s="3">
        <f t="shared" si="16"/>
        <v>1859998.15</v>
      </c>
      <c r="AF41" s="3">
        <f t="shared" si="16"/>
        <v>863053.4375</v>
      </c>
      <c r="AG41" s="3">
        <f t="shared" si="16"/>
        <v>1754423.25</v>
      </c>
      <c r="AH41" s="3">
        <f t="shared" si="16"/>
        <v>3594140.4857142856</v>
      </c>
      <c r="AI41" s="3">
        <f t="shared" si="16"/>
        <v>1278207.25</v>
      </c>
      <c r="AJ41" s="3">
        <f t="shared" si="16"/>
        <v>1309665.642857143</v>
      </c>
      <c r="AK41" s="3">
        <f t="shared" si="16"/>
        <v>1579941.6875</v>
      </c>
      <c r="AL41" s="3">
        <f t="shared" si="16"/>
        <v>1354047.5</v>
      </c>
      <c r="AM41" s="3">
        <f t="shared" si="16"/>
        <v>2162811.25</v>
      </c>
      <c r="AN41" s="3">
        <f t="shared" si="16"/>
        <v>539431</v>
      </c>
      <c r="AO41" s="3">
        <f t="shared" si="16"/>
        <v>2493320.125</v>
      </c>
      <c r="AP41" s="3">
        <f t="shared" si="16"/>
        <v>1568562.0250000001</v>
      </c>
      <c r="AQ41" s="3">
        <f t="shared" si="16"/>
        <v>1504975.1125</v>
      </c>
      <c r="AR41" s="3">
        <f t="shared" si="16"/>
        <v>1211913.3125</v>
      </c>
      <c r="AS41" s="3">
        <f t="shared" si="16"/>
        <v>680228.87499999988</v>
      </c>
      <c r="AT41" s="3">
        <f t="shared" si="16"/>
        <v>546551.65</v>
      </c>
      <c r="AU41" s="3">
        <f t="shared" si="16"/>
        <v>925866</v>
      </c>
      <c r="AV41" s="3">
        <f t="shared" si="16"/>
        <v>732568.87499999988</v>
      </c>
      <c r="AW41" s="3">
        <f t="shared" si="16"/>
        <v>1133671.6875</v>
      </c>
      <c r="AX41" s="3">
        <f t="shared" si="16"/>
        <v>1651142.1875</v>
      </c>
      <c r="AY41" s="3">
        <f t="shared" si="16"/>
        <v>1775123.5999999999</v>
      </c>
      <c r="AZ41" s="3">
        <f t="shared" si="16"/>
        <v>1171397.8374999999</v>
      </c>
      <c r="BA41" s="3">
        <f t="shared" si="16"/>
        <v>10218977.833333334</v>
      </c>
      <c r="BB41" s="3">
        <f t="shared" si="16"/>
        <v>2741029.4499999997</v>
      </c>
      <c r="BC41" s="3">
        <f t="shared" si="16"/>
        <v>1052077.1249999998</v>
      </c>
      <c r="BD41" s="3">
        <f t="shared" si="16"/>
        <v>827844.5625</v>
      </c>
      <c r="BE41" s="3">
        <f t="shared" si="16"/>
        <v>1176607.6875</v>
      </c>
      <c r="BF41" s="3">
        <f t="shared" si="16"/>
        <v>1946687.3375000001</v>
      </c>
      <c r="BG41" s="3">
        <f t="shared" si="16"/>
        <v>417267.51250000001</v>
      </c>
      <c r="BH41" s="3">
        <f t="shared" ref="BH41" si="17">BH39/BH35</f>
        <v>1262163.3749999998</v>
      </c>
      <c r="BI41" s="3">
        <f t="shared" si="16"/>
        <v>1144726.4375</v>
      </c>
      <c r="BJ41" s="3">
        <f t="shared" si="16"/>
        <v>342482.78750000003</v>
      </c>
      <c r="BK41" s="3">
        <f t="shared" si="16"/>
        <v>581697.26</v>
      </c>
      <c r="BL41" s="3">
        <f t="shared" si="16"/>
        <v>2379937.125</v>
      </c>
      <c r="BM41" s="3">
        <f t="shared" si="16"/>
        <v>1208806.7666666668</v>
      </c>
      <c r="BN41" s="3">
        <f t="shared" si="16"/>
        <v>1525479.1875</v>
      </c>
      <c r="BO41" s="3">
        <f t="shared" ref="BO41:BZ41" si="18">BO39/BO35</f>
        <v>3288982.3166666664</v>
      </c>
      <c r="BP41" s="3">
        <f t="shared" si="18"/>
        <v>2212296.9999999995</v>
      </c>
      <c r="BQ41" s="3">
        <f t="shared" si="18"/>
        <v>849697.1875</v>
      </c>
      <c r="BR41" s="3">
        <f t="shared" si="18"/>
        <v>6780940.583333334</v>
      </c>
      <c r="BS41" s="3">
        <f t="shared" si="18"/>
        <v>1521175.375</v>
      </c>
      <c r="BT41" s="3">
        <f t="shared" si="18"/>
        <v>1371618.0000000002</v>
      </c>
      <c r="BU41" s="3">
        <f t="shared" si="18"/>
        <v>392165.26250000001</v>
      </c>
      <c r="BV41" s="3">
        <f t="shared" si="18"/>
        <v>798583.125</v>
      </c>
      <c r="BW41" s="3">
        <f t="shared" si="18"/>
        <v>5134479.416666667</v>
      </c>
      <c r="BX41" s="3">
        <f t="shared" si="18"/>
        <v>526500.45000000007</v>
      </c>
      <c r="BY41" s="3">
        <f t="shared" si="18"/>
        <v>903687.61249999993</v>
      </c>
      <c r="BZ41" s="3">
        <f t="shared" si="18"/>
        <v>2395810</v>
      </c>
    </row>
    <row r="42" spans="1:80" x14ac:dyDescent="0.2">
      <c r="C42" s="13"/>
    </row>
    <row r="43" spans="1:80" x14ac:dyDescent="0.2">
      <c r="B43" s="19" t="s">
        <v>89</v>
      </c>
      <c r="C43" s="13">
        <f>C41*$C35</f>
        <v>100249679.95000003</v>
      </c>
      <c r="D43" s="13">
        <f>D41*$C35</f>
        <v>15993291.535839427</v>
      </c>
      <c r="E43" s="13">
        <f t="shared" ref="E43:BN43" si="19">E41*$C35</f>
        <v>1538171.9114933682</v>
      </c>
      <c r="F43" s="13">
        <f t="shared" si="19"/>
        <v>244765.38343836734</v>
      </c>
      <c r="G43" s="13">
        <f t="shared" si="19"/>
        <v>202704.19502420753</v>
      </c>
      <c r="H43" s="13">
        <f t="shared" si="19"/>
        <v>925706.18885393185</v>
      </c>
      <c r="I43" s="13">
        <f t="shared" si="19"/>
        <v>1819880.5767932483</v>
      </c>
      <c r="J43" s="13">
        <f t="shared" si="19"/>
        <v>734219.4637740032</v>
      </c>
      <c r="K43" s="13">
        <f t="shared" si="19"/>
        <v>177183.74926087807</v>
      </c>
      <c r="L43" s="13">
        <f t="shared" si="19"/>
        <v>370737.58410166611</v>
      </c>
      <c r="M43" s="13">
        <f t="shared" si="19"/>
        <v>189709.42881873919</v>
      </c>
      <c r="N43" s="13">
        <f t="shared" si="19"/>
        <v>395318.50022878015</v>
      </c>
      <c r="O43" s="13">
        <f t="shared" si="19"/>
        <v>1408549.2702102836</v>
      </c>
      <c r="P43" s="13">
        <f t="shared" si="19"/>
        <v>1569469.6874310595</v>
      </c>
      <c r="Q43" s="13">
        <f t="shared" si="19"/>
        <v>1481105.7990363999</v>
      </c>
      <c r="R43" s="13">
        <f t="shared" si="19"/>
        <v>578533.82016923977</v>
      </c>
      <c r="S43" s="13">
        <f t="shared" si="19"/>
        <v>1164046.4467445503</v>
      </c>
      <c r="T43" s="13">
        <f t="shared" si="19"/>
        <v>1584604.7597361649</v>
      </c>
      <c r="U43" s="13">
        <f t="shared" si="19"/>
        <v>825158.98901523999</v>
      </c>
      <c r="V43" s="13">
        <f t="shared" si="19"/>
        <v>1123128.78050128</v>
      </c>
      <c r="W43" s="13">
        <f t="shared" si="19"/>
        <v>1372352.9549990026</v>
      </c>
      <c r="X43" s="13">
        <f t="shared" si="19"/>
        <v>2178055.8342126808</v>
      </c>
      <c r="Y43" s="13">
        <f t="shared" si="19"/>
        <v>777017.52259306633</v>
      </c>
      <c r="Z43" s="13">
        <f t="shared" si="19"/>
        <v>373159.23160919995</v>
      </c>
      <c r="AA43" s="13">
        <f t="shared" si="19"/>
        <v>2192893.3322134512</v>
      </c>
      <c r="AB43" s="13">
        <f t="shared" si="19"/>
        <v>271020.6118205582</v>
      </c>
      <c r="AC43" s="13">
        <f t="shared" si="19"/>
        <v>1750847.3812929797</v>
      </c>
      <c r="AD43" s="13">
        <f t="shared" si="19"/>
        <v>474408.68780007231</v>
      </c>
      <c r="AE43" s="13">
        <f t="shared" si="19"/>
        <v>1285498.9822669206</v>
      </c>
      <c r="AF43" s="13">
        <f t="shared" si="19"/>
        <v>596481.40808538836</v>
      </c>
      <c r="AG43" s="13">
        <f t="shared" si="19"/>
        <v>1212533.0889928159</v>
      </c>
      <c r="AH43" s="13">
        <f t="shared" si="19"/>
        <v>2484015.3397518434</v>
      </c>
      <c r="AI43" s="13">
        <f t="shared" si="19"/>
        <v>883406.31898004806</v>
      </c>
      <c r="AJ43" s="13">
        <f t="shared" si="19"/>
        <v>905148.13200368488</v>
      </c>
      <c r="AK43" s="13">
        <f t="shared" si="19"/>
        <v>1091943.7910851315</v>
      </c>
      <c r="AL43" s="13">
        <f t="shared" si="19"/>
        <v>935821.72820498142</v>
      </c>
      <c r="AM43" s="13">
        <f t="shared" si="19"/>
        <v>1494781.9494930392</v>
      </c>
      <c r="AN43" s="13">
        <f t="shared" si="19"/>
        <v>372816.50065255561</v>
      </c>
      <c r="AO43" s="13">
        <f t="shared" si="19"/>
        <v>1723206.2747767416</v>
      </c>
      <c r="AP43" s="13">
        <f t="shared" si="19"/>
        <v>1084078.9743581412</v>
      </c>
      <c r="AQ43" s="13">
        <f t="shared" si="19"/>
        <v>1040132.204139985</v>
      </c>
      <c r="AR43" s="13">
        <f t="shared" si="19"/>
        <v>837588.6448136965</v>
      </c>
      <c r="AS43" s="13">
        <f t="shared" si="19"/>
        <v>470126.01949150983</v>
      </c>
      <c r="AT43" s="13">
        <f t="shared" si="19"/>
        <v>377737.78959474032</v>
      </c>
      <c r="AU43" s="13">
        <f t="shared" si="19"/>
        <v>639893.00242881675</v>
      </c>
      <c r="AV43" s="13">
        <f t="shared" si="19"/>
        <v>506299.72038032557</v>
      </c>
      <c r="AW43" s="13">
        <f t="shared" si="19"/>
        <v>783513.57527214335</v>
      </c>
      <c r="AX43" s="13">
        <f t="shared" si="19"/>
        <v>1141152.5337319432</v>
      </c>
      <c r="AY43" s="13">
        <f t="shared" si="19"/>
        <v>1226839.7047588418</v>
      </c>
      <c r="AZ43" s="13">
        <f t="shared" si="19"/>
        <v>809587.21810337366</v>
      </c>
      <c r="BA43" s="13">
        <f t="shared" si="19"/>
        <v>7062633.693779869</v>
      </c>
      <c r="BB43" s="13">
        <f t="shared" si="19"/>
        <v>1894405.4155853095</v>
      </c>
      <c r="BC43" s="13">
        <f t="shared" si="19"/>
        <v>727121.19281076035</v>
      </c>
      <c r="BD43" s="13">
        <f t="shared" si="19"/>
        <v>572147.52744187089</v>
      </c>
      <c r="BE43" s="13">
        <f t="shared" si="19"/>
        <v>813187.8974227393</v>
      </c>
      <c r="BF43" s="13">
        <f t="shared" si="19"/>
        <v>1345412.4086887676</v>
      </c>
      <c r="BG43" s="13">
        <f t="shared" si="19"/>
        <v>288385.75062657968</v>
      </c>
      <c r="BH43" s="13">
        <f t="shared" ref="BH43" si="20">BH41*$C35</f>
        <v>872317.9289275537</v>
      </c>
      <c r="BI43" s="13">
        <f t="shared" si="19"/>
        <v>791153.83549187274</v>
      </c>
      <c r="BJ43" s="13">
        <f t="shared" si="19"/>
        <v>236699.84552145284</v>
      </c>
      <c r="BK43" s="13">
        <f t="shared" si="19"/>
        <v>402027.94595115929</v>
      </c>
      <c r="BL43" s="13">
        <f t="shared" si="19"/>
        <v>1644843.9758108151</v>
      </c>
      <c r="BM43" s="13">
        <f t="shared" si="19"/>
        <v>835441.62036256178</v>
      </c>
      <c r="BN43" s="13">
        <f t="shared" si="19"/>
        <v>1054303.1685276779</v>
      </c>
      <c r="BO43" s="13">
        <f t="shared" ref="BO43:BZ43" si="21">BO41*$C35</f>
        <v>2273111.6268953807</v>
      </c>
      <c r="BP43" s="13">
        <f t="shared" si="21"/>
        <v>1528982.9949412374</v>
      </c>
      <c r="BQ43" s="13">
        <f t="shared" si="21"/>
        <v>587250.51407514291</v>
      </c>
      <c r="BR43" s="13">
        <f t="shared" si="21"/>
        <v>4686505.854152306</v>
      </c>
      <c r="BS43" s="13">
        <f t="shared" si="21"/>
        <v>1051328.678155944</v>
      </c>
      <c r="BT43" s="13">
        <f t="shared" si="21"/>
        <v>947965.21333044837</v>
      </c>
      <c r="BU43" s="13">
        <f t="shared" si="21"/>
        <v>271036.85335611209</v>
      </c>
      <c r="BV43" s="13">
        <f t="shared" si="21"/>
        <v>551924.0943562428</v>
      </c>
      <c r="BW43" s="13">
        <f t="shared" si="21"/>
        <v>3548588.5104753748</v>
      </c>
      <c r="BX43" s="13">
        <f t="shared" si="21"/>
        <v>363879.82033104484</v>
      </c>
      <c r="BY43" s="13">
        <f t="shared" si="21"/>
        <v>624564.87182848714</v>
      </c>
      <c r="BZ43" s="13">
        <f t="shared" si="21"/>
        <v>1655814.1827748113</v>
      </c>
    </row>
    <row r="44" spans="1:80" x14ac:dyDescent="0.2">
      <c r="C44" s="13"/>
    </row>
    <row r="45" spans="1:80" x14ac:dyDescent="0.2">
      <c r="A45" s="23" t="s">
        <v>151</v>
      </c>
      <c r="B45" s="24" t="s">
        <v>85</v>
      </c>
      <c r="C45" s="1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</row>
    <row r="46" spans="1:80" x14ac:dyDescent="0.2">
      <c r="B46" t="s">
        <v>81</v>
      </c>
      <c r="C46" s="3">
        <f>SUM(D46:BZ46)</f>
        <v>1616929.5499999998</v>
      </c>
      <c r="D46" s="7">
        <v>341027</v>
      </c>
      <c r="E46" s="7">
        <v>31901.68</v>
      </c>
      <c r="F46" s="7">
        <v>3311.7</v>
      </c>
      <c r="G46" s="7">
        <v>2931.7</v>
      </c>
      <c r="H46" s="7">
        <v>10902.2</v>
      </c>
      <c r="I46" s="7">
        <v>16205.84</v>
      </c>
      <c r="J46" s="7">
        <v>11989.2</v>
      </c>
      <c r="K46" s="7">
        <v>1878.3</v>
      </c>
      <c r="L46" s="7">
        <v>0</v>
      </c>
      <c r="M46" s="7">
        <v>2746.55</v>
      </c>
      <c r="N46" s="7">
        <v>6172.45</v>
      </c>
      <c r="O46" s="7">
        <v>16555.62</v>
      </c>
      <c r="P46" s="7">
        <v>38852.199999999997</v>
      </c>
      <c r="Q46" s="7">
        <v>21580.7</v>
      </c>
      <c r="R46" s="7">
        <v>12147.95</v>
      </c>
      <c r="S46" s="7">
        <v>12664.89</v>
      </c>
      <c r="T46" s="7">
        <v>28948.69</v>
      </c>
      <c r="U46" s="7">
        <v>7523</v>
      </c>
      <c r="V46" s="7">
        <v>11090.66</v>
      </c>
      <c r="W46" s="7">
        <v>19959.3</v>
      </c>
      <c r="X46" s="7">
        <v>16613.75</v>
      </c>
      <c r="Y46" s="7">
        <v>7913</v>
      </c>
      <c r="Z46" s="7">
        <v>3799.01</v>
      </c>
      <c r="AA46" s="7">
        <v>42771.94</v>
      </c>
      <c r="AB46" s="7">
        <v>2056.04</v>
      </c>
      <c r="AC46" s="7">
        <v>25533.35</v>
      </c>
      <c r="AD46" s="7">
        <v>4008.77</v>
      </c>
      <c r="AE46" s="7">
        <v>27407.35</v>
      </c>
      <c r="AF46" s="7">
        <v>7632.6</v>
      </c>
      <c r="AG46" s="7">
        <v>43384.85</v>
      </c>
      <c r="AH46" s="7">
        <v>34305</v>
      </c>
      <c r="AI46" s="7">
        <v>6301.4</v>
      </c>
      <c r="AJ46" s="7">
        <v>12029.15</v>
      </c>
      <c r="AK46" s="7">
        <v>12230.15</v>
      </c>
      <c r="AL46" s="7">
        <v>9732</v>
      </c>
      <c r="AM46" s="7">
        <v>11666</v>
      </c>
      <c r="AN46" s="7">
        <v>25556.94</v>
      </c>
      <c r="AO46" s="7">
        <v>27293.85</v>
      </c>
      <c r="AP46" s="7">
        <v>11505.78</v>
      </c>
      <c r="AQ46" s="7">
        <v>11991.8</v>
      </c>
      <c r="AR46" s="7">
        <v>184.2</v>
      </c>
      <c r="AS46" s="7">
        <v>5677.95</v>
      </c>
      <c r="AT46" s="7">
        <v>6184.17</v>
      </c>
      <c r="AU46" s="7">
        <v>6822.64</v>
      </c>
      <c r="AV46" s="7">
        <v>5899.6</v>
      </c>
      <c r="AW46" s="7">
        <v>8853.4500000000007</v>
      </c>
      <c r="AX46" s="7">
        <v>10893.05</v>
      </c>
      <c r="AY46" s="7">
        <v>26791.88</v>
      </c>
      <c r="AZ46" s="7">
        <v>13657.6</v>
      </c>
      <c r="BA46" s="7">
        <v>104845.2</v>
      </c>
      <c r="BB46" s="7">
        <v>23051.66</v>
      </c>
      <c r="BC46" s="7">
        <v>8106.2</v>
      </c>
      <c r="BD46" s="7">
        <v>19773.55</v>
      </c>
      <c r="BE46" s="7">
        <v>14735.22</v>
      </c>
      <c r="BF46" s="7">
        <v>33792.5</v>
      </c>
      <c r="BG46" s="7">
        <v>4306.3500000000004</v>
      </c>
      <c r="BH46" s="7">
        <v>22577.9</v>
      </c>
      <c r="BI46" s="7">
        <v>17110.900000000001</v>
      </c>
      <c r="BJ46" s="7">
        <v>3108</v>
      </c>
      <c r="BK46" s="7">
        <v>10078.24</v>
      </c>
      <c r="BL46" s="7">
        <v>30393.919999999998</v>
      </c>
      <c r="BM46" s="7">
        <v>8183.93</v>
      </c>
      <c r="BN46" s="7">
        <v>13801.55</v>
      </c>
      <c r="BO46" s="7">
        <v>32491</v>
      </c>
      <c r="BP46" s="7">
        <v>28138</v>
      </c>
      <c r="BQ46" s="7">
        <v>12760.25</v>
      </c>
      <c r="BR46" s="7">
        <v>101700.02</v>
      </c>
      <c r="BS46" s="7">
        <v>8815.0499999999993</v>
      </c>
      <c r="BT46" s="7">
        <v>9826.65</v>
      </c>
      <c r="BU46" s="7">
        <v>1268.4000000000001</v>
      </c>
      <c r="BV46" s="7">
        <v>7994.3</v>
      </c>
      <c r="BW46" s="7">
        <v>30836.34</v>
      </c>
      <c r="BX46" s="7">
        <v>5595.46</v>
      </c>
      <c r="BY46" s="7">
        <v>12626.06</v>
      </c>
      <c r="BZ46" s="7">
        <v>23926</v>
      </c>
      <c r="CB46" t="s">
        <v>108</v>
      </c>
    </row>
    <row r="47" spans="1:80" x14ac:dyDescent="0.2">
      <c r="B47" t="s">
        <v>82</v>
      </c>
      <c r="C47" s="3">
        <f>SUM(D47:BZ47)</f>
        <v>11.92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0.2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11.72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7">
        <v>0</v>
      </c>
      <c r="BZ47" s="7">
        <v>0</v>
      </c>
      <c r="CB47" t="s">
        <v>108</v>
      </c>
    </row>
    <row r="48" spans="1:80" s="19" customFormat="1" x14ac:dyDescent="0.2">
      <c r="B48" s="19" t="s">
        <v>90</v>
      </c>
      <c r="C48" s="13">
        <f>SUM(D48:BZ48)</f>
        <v>1616917.6299999997</v>
      </c>
      <c r="D48" s="13">
        <f>D46-D47</f>
        <v>341027</v>
      </c>
      <c r="E48" s="13">
        <f t="shared" ref="E48:BN48" si="22">E46-E47</f>
        <v>31901.68</v>
      </c>
      <c r="F48" s="13">
        <f t="shared" si="22"/>
        <v>3311.7</v>
      </c>
      <c r="G48" s="13">
        <f t="shared" si="22"/>
        <v>2931.7</v>
      </c>
      <c r="H48" s="13">
        <f t="shared" si="22"/>
        <v>10902.2</v>
      </c>
      <c r="I48" s="13">
        <f t="shared" si="22"/>
        <v>16205.84</v>
      </c>
      <c r="J48" s="13">
        <f t="shared" si="22"/>
        <v>11989.2</v>
      </c>
      <c r="K48" s="13">
        <f t="shared" si="22"/>
        <v>1878.3</v>
      </c>
      <c r="L48" s="13">
        <f t="shared" si="22"/>
        <v>0</v>
      </c>
      <c r="M48" s="13">
        <f t="shared" si="22"/>
        <v>2746.55</v>
      </c>
      <c r="N48" s="13">
        <f t="shared" si="22"/>
        <v>6172.45</v>
      </c>
      <c r="O48" s="13">
        <f t="shared" si="22"/>
        <v>16555.62</v>
      </c>
      <c r="P48" s="13">
        <f t="shared" si="22"/>
        <v>38852.199999999997</v>
      </c>
      <c r="Q48" s="13">
        <f t="shared" si="22"/>
        <v>21580.7</v>
      </c>
      <c r="R48" s="13">
        <f t="shared" si="22"/>
        <v>12147.95</v>
      </c>
      <c r="S48" s="13">
        <f t="shared" si="22"/>
        <v>12664.89</v>
      </c>
      <c r="T48" s="13">
        <f t="shared" si="22"/>
        <v>28948.69</v>
      </c>
      <c r="U48" s="13">
        <f t="shared" si="22"/>
        <v>7523</v>
      </c>
      <c r="V48" s="13">
        <f t="shared" si="22"/>
        <v>11090.66</v>
      </c>
      <c r="W48" s="13">
        <f t="shared" si="22"/>
        <v>19959.3</v>
      </c>
      <c r="X48" s="13">
        <f t="shared" si="22"/>
        <v>16613.75</v>
      </c>
      <c r="Y48" s="13">
        <f t="shared" si="22"/>
        <v>7913</v>
      </c>
      <c r="Z48" s="13">
        <f t="shared" si="22"/>
        <v>3799.01</v>
      </c>
      <c r="AA48" s="13">
        <f t="shared" si="22"/>
        <v>42771.94</v>
      </c>
      <c r="AB48" s="13">
        <f t="shared" si="22"/>
        <v>2056.04</v>
      </c>
      <c r="AC48" s="13">
        <f t="shared" si="22"/>
        <v>25533.35</v>
      </c>
      <c r="AD48" s="13">
        <f t="shared" si="22"/>
        <v>4008.57</v>
      </c>
      <c r="AE48" s="13">
        <f t="shared" si="22"/>
        <v>27407.35</v>
      </c>
      <c r="AF48" s="13">
        <f t="shared" si="22"/>
        <v>7632.6</v>
      </c>
      <c r="AG48" s="13">
        <f t="shared" si="22"/>
        <v>43384.85</v>
      </c>
      <c r="AH48" s="13">
        <f t="shared" si="22"/>
        <v>34305</v>
      </c>
      <c r="AI48" s="13">
        <f t="shared" si="22"/>
        <v>6301.4</v>
      </c>
      <c r="AJ48" s="13">
        <f t="shared" si="22"/>
        <v>12029.15</v>
      </c>
      <c r="AK48" s="13">
        <f t="shared" si="22"/>
        <v>12230.15</v>
      </c>
      <c r="AL48" s="13">
        <f t="shared" si="22"/>
        <v>9732</v>
      </c>
      <c r="AM48" s="13">
        <f t="shared" si="22"/>
        <v>11666</v>
      </c>
      <c r="AN48" s="13">
        <f t="shared" si="22"/>
        <v>25556.94</v>
      </c>
      <c r="AO48" s="13">
        <f t="shared" si="22"/>
        <v>27293.85</v>
      </c>
      <c r="AP48" s="13">
        <f t="shared" si="22"/>
        <v>11505.78</v>
      </c>
      <c r="AQ48" s="13">
        <f t="shared" si="22"/>
        <v>11991.8</v>
      </c>
      <c r="AR48" s="13">
        <f t="shared" si="22"/>
        <v>184.2</v>
      </c>
      <c r="AS48" s="13">
        <f t="shared" si="22"/>
        <v>5677.95</v>
      </c>
      <c r="AT48" s="13">
        <f t="shared" si="22"/>
        <v>6184.17</v>
      </c>
      <c r="AU48" s="13">
        <f t="shared" si="22"/>
        <v>6822.64</v>
      </c>
      <c r="AV48" s="13">
        <f t="shared" si="22"/>
        <v>5899.6</v>
      </c>
      <c r="AW48" s="13">
        <f t="shared" si="22"/>
        <v>8853.4500000000007</v>
      </c>
      <c r="AX48" s="13">
        <f t="shared" si="22"/>
        <v>10893.05</v>
      </c>
      <c r="AY48" s="13">
        <f t="shared" si="22"/>
        <v>26791.88</v>
      </c>
      <c r="AZ48" s="13">
        <f t="shared" si="22"/>
        <v>13657.6</v>
      </c>
      <c r="BA48" s="13">
        <f t="shared" si="22"/>
        <v>104845.2</v>
      </c>
      <c r="BB48" s="13">
        <f t="shared" si="22"/>
        <v>23051.66</v>
      </c>
      <c r="BC48" s="13">
        <f t="shared" si="22"/>
        <v>8106.2</v>
      </c>
      <c r="BD48" s="13">
        <f t="shared" si="22"/>
        <v>19773.55</v>
      </c>
      <c r="BE48" s="13">
        <f t="shared" si="22"/>
        <v>14735.22</v>
      </c>
      <c r="BF48" s="13">
        <f t="shared" si="22"/>
        <v>33792.5</v>
      </c>
      <c r="BG48" s="13">
        <f t="shared" si="22"/>
        <v>4306.3500000000004</v>
      </c>
      <c r="BH48" s="13">
        <f t="shared" si="22"/>
        <v>22577.9</v>
      </c>
      <c r="BI48" s="13">
        <f t="shared" si="22"/>
        <v>17110.900000000001</v>
      </c>
      <c r="BJ48" s="13">
        <f t="shared" si="22"/>
        <v>3108</v>
      </c>
      <c r="BK48" s="13">
        <f t="shared" si="22"/>
        <v>10078.24</v>
      </c>
      <c r="BL48" s="13">
        <f t="shared" si="22"/>
        <v>30382.199999999997</v>
      </c>
      <c r="BM48" s="13">
        <f t="shared" si="22"/>
        <v>8183.93</v>
      </c>
      <c r="BN48" s="13">
        <f t="shared" si="22"/>
        <v>13801.55</v>
      </c>
      <c r="BO48" s="13">
        <f t="shared" ref="BO48:BZ48" si="23">BO46-BO47</f>
        <v>32491</v>
      </c>
      <c r="BP48" s="13">
        <f t="shared" si="23"/>
        <v>28138</v>
      </c>
      <c r="BQ48" s="13">
        <f t="shared" si="23"/>
        <v>12760.25</v>
      </c>
      <c r="BR48" s="13">
        <f t="shared" si="23"/>
        <v>101700.02</v>
      </c>
      <c r="BS48" s="13">
        <f t="shared" si="23"/>
        <v>8815.0499999999993</v>
      </c>
      <c r="BT48" s="13">
        <f t="shared" si="23"/>
        <v>9826.65</v>
      </c>
      <c r="BU48" s="13">
        <f t="shared" si="23"/>
        <v>1268.4000000000001</v>
      </c>
      <c r="BV48" s="13">
        <f t="shared" si="23"/>
        <v>7994.3</v>
      </c>
      <c r="BW48" s="13">
        <f t="shared" si="23"/>
        <v>30836.34</v>
      </c>
      <c r="BX48" s="13">
        <f t="shared" si="23"/>
        <v>5595.46</v>
      </c>
      <c r="BY48" s="13">
        <f t="shared" si="23"/>
        <v>12626.06</v>
      </c>
      <c r="BZ48" s="13">
        <f t="shared" si="23"/>
        <v>23926</v>
      </c>
    </row>
    <row r="49" spans="1:80" x14ac:dyDescent="0.2">
      <c r="C49" s="1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x14ac:dyDescent="0.2">
      <c r="A50" s="23" t="s">
        <v>152</v>
      </c>
      <c r="B50" s="24" t="s">
        <v>2</v>
      </c>
      <c r="C50" s="14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</row>
    <row r="51" spans="1:80" x14ac:dyDescent="0.2">
      <c r="B51" t="s">
        <v>81</v>
      </c>
      <c r="C51" s="3">
        <f>SUM(D51:BZ51)</f>
        <v>66697905.510000005</v>
      </c>
      <c r="D51" s="7">
        <v>10747087.699999999</v>
      </c>
      <c r="E51" s="7">
        <v>1043078.83</v>
      </c>
      <c r="F51" s="7">
        <v>130609.25</v>
      </c>
      <c r="G51" s="7">
        <v>63419.6</v>
      </c>
      <c r="H51" s="7">
        <v>657110.5</v>
      </c>
      <c r="I51" s="7">
        <v>818506.56</v>
      </c>
      <c r="J51" s="7">
        <v>484469.95</v>
      </c>
      <c r="K51" s="7">
        <v>280086.40000000002</v>
      </c>
      <c r="L51" s="7">
        <v>150547.85</v>
      </c>
      <c r="M51" s="7">
        <v>39640.449999999997</v>
      </c>
      <c r="N51" s="7">
        <v>211831.45</v>
      </c>
      <c r="O51" s="7">
        <v>1764100.94</v>
      </c>
      <c r="P51" s="7">
        <v>1232195.5</v>
      </c>
      <c r="Q51" s="7">
        <v>822027.05</v>
      </c>
      <c r="R51" s="7">
        <v>427526.35</v>
      </c>
      <c r="S51" s="7">
        <v>1058235.48</v>
      </c>
      <c r="T51" s="7">
        <v>1472774.96</v>
      </c>
      <c r="U51" s="7">
        <v>465984</v>
      </c>
      <c r="V51" s="7">
        <v>496769.45</v>
      </c>
      <c r="W51" s="7">
        <v>1047267.57</v>
      </c>
      <c r="X51" s="7">
        <v>1137544.25</v>
      </c>
      <c r="Y51" s="7">
        <v>534555</v>
      </c>
      <c r="Z51" s="7">
        <v>150512.47</v>
      </c>
      <c r="AA51" s="7">
        <v>1221347.06</v>
      </c>
      <c r="AB51" s="7">
        <v>152245.79</v>
      </c>
      <c r="AC51" s="7">
        <v>868191.49</v>
      </c>
      <c r="AD51" s="7">
        <v>208144.87</v>
      </c>
      <c r="AE51" s="7">
        <v>592568.85</v>
      </c>
      <c r="AF51" s="7">
        <v>314155.95</v>
      </c>
      <c r="AG51" s="7">
        <v>662938.80000000005</v>
      </c>
      <c r="AH51" s="7">
        <v>1532879.61</v>
      </c>
      <c r="AI51" s="7">
        <v>712353.9</v>
      </c>
      <c r="AJ51" s="7">
        <v>676079.2</v>
      </c>
      <c r="AK51" s="7">
        <v>753282.7</v>
      </c>
      <c r="AL51" s="7">
        <v>507399</v>
      </c>
      <c r="AM51" s="7">
        <v>788651</v>
      </c>
      <c r="AN51" s="7">
        <v>118401.31</v>
      </c>
      <c r="AO51" s="7">
        <v>1046843.5</v>
      </c>
      <c r="AP51" s="7">
        <v>890717.45</v>
      </c>
      <c r="AQ51" s="7">
        <v>365733.64</v>
      </c>
      <c r="AR51" s="7">
        <v>357911.3</v>
      </c>
      <c r="AS51" s="7">
        <v>319816.8</v>
      </c>
      <c r="AT51" s="7">
        <v>238631.67999999999</v>
      </c>
      <c r="AU51" s="7">
        <v>417986.07</v>
      </c>
      <c r="AV51" s="7">
        <v>242948.85</v>
      </c>
      <c r="AW51" s="7">
        <v>585988.69999999995</v>
      </c>
      <c r="AX51" s="7">
        <v>1062006.2</v>
      </c>
      <c r="AY51" s="7">
        <v>1534595.16</v>
      </c>
      <c r="AZ51" s="7">
        <v>481626.92</v>
      </c>
      <c r="BA51" s="7">
        <v>3963250.2</v>
      </c>
      <c r="BB51" s="7">
        <v>1392136.69</v>
      </c>
      <c r="BC51" s="7">
        <v>399077.45</v>
      </c>
      <c r="BD51" s="7">
        <v>438589.81</v>
      </c>
      <c r="BE51" s="7">
        <v>477269.77</v>
      </c>
      <c r="BF51" s="7">
        <v>1364961.86</v>
      </c>
      <c r="BG51" s="7">
        <v>525157.80000000005</v>
      </c>
      <c r="BH51" s="7">
        <v>578932.35</v>
      </c>
      <c r="BI51" s="7">
        <v>324153.05</v>
      </c>
      <c r="BJ51" s="7">
        <v>132032.98000000001</v>
      </c>
      <c r="BK51" s="7">
        <v>143051.35</v>
      </c>
      <c r="BL51" s="7">
        <v>735867.75</v>
      </c>
      <c r="BM51" s="7">
        <v>578276.04</v>
      </c>
      <c r="BN51" s="7">
        <v>598875.30000000005</v>
      </c>
      <c r="BO51" s="7">
        <v>1884720.85</v>
      </c>
      <c r="BP51" s="7">
        <v>1106897.8500000001</v>
      </c>
      <c r="BQ51" s="7">
        <v>501559.2</v>
      </c>
      <c r="BR51" s="7">
        <v>3832501.4</v>
      </c>
      <c r="BS51" s="7">
        <v>864370.7</v>
      </c>
      <c r="BT51" s="7">
        <v>818061</v>
      </c>
      <c r="BU51" s="7">
        <v>84187.08</v>
      </c>
      <c r="BV51" s="7">
        <v>228669.6</v>
      </c>
      <c r="BW51" s="7">
        <v>2111197.44</v>
      </c>
      <c r="BX51" s="7">
        <v>328055.43</v>
      </c>
      <c r="BY51" s="7">
        <v>321128.2</v>
      </c>
      <c r="BZ51" s="7">
        <v>1075597</v>
      </c>
      <c r="CB51" t="s">
        <v>108</v>
      </c>
    </row>
    <row r="52" spans="1:80" x14ac:dyDescent="0.2">
      <c r="B52" t="s">
        <v>82</v>
      </c>
      <c r="C52" s="3">
        <f>SUM(D52:BZ52)</f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B52" t="s">
        <v>108</v>
      </c>
    </row>
    <row r="53" spans="1:80" s="19" customFormat="1" x14ac:dyDescent="0.2">
      <c r="B53" s="19" t="s">
        <v>90</v>
      </c>
      <c r="C53" s="13">
        <f>SUM(D53:BZ53)</f>
        <v>66697905.510000005</v>
      </c>
      <c r="D53" s="13">
        <f>D51-D52</f>
        <v>10747087.699999999</v>
      </c>
      <c r="E53" s="13">
        <f t="shared" ref="E53:BN53" si="24">E51-E52</f>
        <v>1043078.83</v>
      </c>
      <c r="F53" s="13">
        <f t="shared" si="24"/>
        <v>130609.25</v>
      </c>
      <c r="G53" s="13">
        <f t="shared" si="24"/>
        <v>63419.6</v>
      </c>
      <c r="H53" s="13">
        <f t="shared" si="24"/>
        <v>657110.5</v>
      </c>
      <c r="I53" s="13">
        <f t="shared" si="24"/>
        <v>818506.56</v>
      </c>
      <c r="J53" s="13">
        <f t="shared" si="24"/>
        <v>484469.95</v>
      </c>
      <c r="K53" s="13">
        <f t="shared" si="24"/>
        <v>280086.40000000002</v>
      </c>
      <c r="L53" s="13">
        <f t="shared" si="24"/>
        <v>150547.85</v>
      </c>
      <c r="M53" s="13">
        <f t="shared" si="24"/>
        <v>39640.449999999997</v>
      </c>
      <c r="N53" s="13">
        <f t="shared" si="24"/>
        <v>211831.45</v>
      </c>
      <c r="O53" s="13">
        <f t="shared" si="24"/>
        <v>1764100.94</v>
      </c>
      <c r="P53" s="13">
        <f t="shared" si="24"/>
        <v>1232195.5</v>
      </c>
      <c r="Q53" s="13">
        <f t="shared" si="24"/>
        <v>822027.05</v>
      </c>
      <c r="R53" s="13">
        <f t="shared" si="24"/>
        <v>427526.35</v>
      </c>
      <c r="S53" s="13">
        <f t="shared" si="24"/>
        <v>1058235.48</v>
      </c>
      <c r="T53" s="13">
        <f t="shared" si="24"/>
        <v>1472774.96</v>
      </c>
      <c r="U53" s="13">
        <f t="shared" si="24"/>
        <v>465984</v>
      </c>
      <c r="V53" s="13">
        <f t="shared" si="24"/>
        <v>496769.45</v>
      </c>
      <c r="W53" s="13">
        <f t="shared" si="24"/>
        <v>1047267.57</v>
      </c>
      <c r="X53" s="13">
        <f t="shared" si="24"/>
        <v>1137544.25</v>
      </c>
      <c r="Y53" s="13">
        <f t="shared" si="24"/>
        <v>534555</v>
      </c>
      <c r="Z53" s="13">
        <f t="shared" si="24"/>
        <v>150512.47</v>
      </c>
      <c r="AA53" s="13">
        <f t="shared" si="24"/>
        <v>1221347.06</v>
      </c>
      <c r="AB53" s="13">
        <f t="shared" si="24"/>
        <v>152245.79</v>
      </c>
      <c r="AC53" s="13">
        <f t="shared" si="24"/>
        <v>868191.49</v>
      </c>
      <c r="AD53" s="13">
        <f t="shared" si="24"/>
        <v>208144.87</v>
      </c>
      <c r="AE53" s="13">
        <f t="shared" si="24"/>
        <v>592568.85</v>
      </c>
      <c r="AF53" s="13">
        <f t="shared" si="24"/>
        <v>314155.95</v>
      </c>
      <c r="AG53" s="13">
        <f t="shared" si="24"/>
        <v>662938.80000000005</v>
      </c>
      <c r="AH53" s="13">
        <f t="shared" si="24"/>
        <v>1532879.61</v>
      </c>
      <c r="AI53" s="13">
        <f t="shared" si="24"/>
        <v>712353.9</v>
      </c>
      <c r="AJ53" s="13">
        <f t="shared" si="24"/>
        <v>676079.2</v>
      </c>
      <c r="AK53" s="13">
        <f t="shared" si="24"/>
        <v>753282.7</v>
      </c>
      <c r="AL53" s="13">
        <f t="shared" si="24"/>
        <v>507399</v>
      </c>
      <c r="AM53" s="13">
        <f t="shared" si="24"/>
        <v>788651</v>
      </c>
      <c r="AN53" s="13">
        <f t="shared" si="24"/>
        <v>118401.31</v>
      </c>
      <c r="AO53" s="13">
        <f t="shared" si="24"/>
        <v>1046843.5</v>
      </c>
      <c r="AP53" s="13">
        <f t="shared" si="24"/>
        <v>890717.45</v>
      </c>
      <c r="AQ53" s="13">
        <f t="shared" si="24"/>
        <v>365733.64</v>
      </c>
      <c r="AR53" s="13">
        <f t="shared" si="24"/>
        <v>357911.3</v>
      </c>
      <c r="AS53" s="13">
        <f t="shared" si="24"/>
        <v>319816.8</v>
      </c>
      <c r="AT53" s="13">
        <f t="shared" si="24"/>
        <v>238631.67999999999</v>
      </c>
      <c r="AU53" s="13">
        <f t="shared" si="24"/>
        <v>417986.07</v>
      </c>
      <c r="AV53" s="13">
        <f t="shared" si="24"/>
        <v>242948.85</v>
      </c>
      <c r="AW53" s="13">
        <f t="shared" si="24"/>
        <v>585988.69999999995</v>
      </c>
      <c r="AX53" s="13">
        <f t="shared" si="24"/>
        <v>1062006.2</v>
      </c>
      <c r="AY53" s="13">
        <f t="shared" si="24"/>
        <v>1534595.16</v>
      </c>
      <c r="AZ53" s="13">
        <f t="shared" si="24"/>
        <v>481626.92</v>
      </c>
      <c r="BA53" s="13">
        <f t="shared" si="24"/>
        <v>3963250.2</v>
      </c>
      <c r="BB53" s="13">
        <f t="shared" si="24"/>
        <v>1392136.69</v>
      </c>
      <c r="BC53" s="13">
        <f t="shared" si="24"/>
        <v>399077.45</v>
      </c>
      <c r="BD53" s="13">
        <f t="shared" si="24"/>
        <v>438589.81</v>
      </c>
      <c r="BE53" s="13">
        <f t="shared" si="24"/>
        <v>477269.77</v>
      </c>
      <c r="BF53" s="13">
        <f t="shared" si="24"/>
        <v>1364961.86</v>
      </c>
      <c r="BG53" s="13">
        <f t="shared" si="24"/>
        <v>525157.80000000005</v>
      </c>
      <c r="BH53" s="13">
        <f t="shared" si="24"/>
        <v>578932.35</v>
      </c>
      <c r="BI53" s="13">
        <f t="shared" si="24"/>
        <v>324153.05</v>
      </c>
      <c r="BJ53" s="13">
        <f t="shared" si="24"/>
        <v>132032.98000000001</v>
      </c>
      <c r="BK53" s="13">
        <f t="shared" si="24"/>
        <v>143051.35</v>
      </c>
      <c r="BL53" s="13">
        <f t="shared" si="24"/>
        <v>735867.75</v>
      </c>
      <c r="BM53" s="13">
        <f t="shared" si="24"/>
        <v>578276.04</v>
      </c>
      <c r="BN53" s="13">
        <f t="shared" si="24"/>
        <v>598875.30000000005</v>
      </c>
      <c r="BO53" s="13">
        <f t="shared" ref="BO53:BZ53" si="25">BO51-BO52</f>
        <v>1884720.85</v>
      </c>
      <c r="BP53" s="13">
        <f t="shared" si="25"/>
        <v>1106897.8500000001</v>
      </c>
      <c r="BQ53" s="13">
        <f t="shared" si="25"/>
        <v>501559.2</v>
      </c>
      <c r="BR53" s="13">
        <f t="shared" si="25"/>
        <v>3832501.4</v>
      </c>
      <c r="BS53" s="13">
        <f t="shared" si="25"/>
        <v>864370.7</v>
      </c>
      <c r="BT53" s="13">
        <f t="shared" si="25"/>
        <v>818061</v>
      </c>
      <c r="BU53" s="13">
        <f t="shared" si="25"/>
        <v>84187.08</v>
      </c>
      <c r="BV53" s="13">
        <f t="shared" si="25"/>
        <v>228669.6</v>
      </c>
      <c r="BW53" s="13">
        <f t="shared" si="25"/>
        <v>2111197.44</v>
      </c>
      <c r="BX53" s="13">
        <f t="shared" si="25"/>
        <v>328055.43</v>
      </c>
      <c r="BY53" s="13">
        <f t="shared" si="25"/>
        <v>321128.2</v>
      </c>
      <c r="BZ53" s="13">
        <f t="shared" si="25"/>
        <v>1075597</v>
      </c>
    </row>
    <row r="54" spans="1:80" x14ac:dyDescent="0.2">
      <c r="C54" s="13"/>
    </row>
    <row r="55" spans="1:80" x14ac:dyDescent="0.2">
      <c r="A55" s="23" t="s">
        <v>153</v>
      </c>
      <c r="B55" s="24" t="s">
        <v>3</v>
      </c>
      <c r="C55" s="1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</row>
    <row r="56" spans="1:80" x14ac:dyDescent="0.2">
      <c r="B56" t="s">
        <v>81</v>
      </c>
      <c r="C56" s="3">
        <f>SUM(D56:BZ56)</f>
        <v>104406820.00000004</v>
      </c>
      <c r="D56" s="7">
        <v>16851786.949999999</v>
      </c>
      <c r="E56" s="7">
        <v>2081416.75</v>
      </c>
      <c r="F56" s="7">
        <v>280270.90000000002</v>
      </c>
      <c r="G56" s="7">
        <v>170378.35</v>
      </c>
      <c r="H56" s="7">
        <v>1891906.2</v>
      </c>
      <c r="I56" s="7">
        <v>1188319.55</v>
      </c>
      <c r="J56" s="7">
        <v>376225.7</v>
      </c>
      <c r="K56" s="7">
        <v>301232.34999999998</v>
      </c>
      <c r="L56" s="7">
        <v>217145.65</v>
      </c>
      <c r="M56" s="7">
        <v>-44848.15</v>
      </c>
      <c r="N56" s="7">
        <v>155263.04999999999</v>
      </c>
      <c r="O56" s="7">
        <v>1116246.45</v>
      </c>
      <c r="P56" s="7">
        <v>2711163.6</v>
      </c>
      <c r="Q56" s="7">
        <v>799833.3</v>
      </c>
      <c r="R56" s="7">
        <v>836199.7</v>
      </c>
      <c r="S56" s="7">
        <v>1978241.55</v>
      </c>
      <c r="T56" s="7">
        <v>1757086.45</v>
      </c>
      <c r="U56" s="7">
        <v>694071.65</v>
      </c>
      <c r="V56" s="7">
        <v>1212217.8500000001</v>
      </c>
      <c r="W56" s="7">
        <v>1297422.1000000001</v>
      </c>
      <c r="X56" s="7">
        <v>2099683.15</v>
      </c>
      <c r="Y56" s="7">
        <v>998789.55</v>
      </c>
      <c r="Z56" s="7">
        <v>290842.84999999998</v>
      </c>
      <c r="AA56" s="7">
        <v>2547396.0499999998</v>
      </c>
      <c r="AB56" s="7">
        <v>238412.05</v>
      </c>
      <c r="AC56" s="7">
        <v>1804698.45</v>
      </c>
      <c r="AD56" s="7">
        <v>273054.34999999998</v>
      </c>
      <c r="AE56" s="7">
        <v>1346923.3</v>
      </c>
      <c r="AF56" s="7">
        <v>695833.7</v>
      </c>
      <c r="AG56" s="7">
        <v>1563625.2</v>
      </c>
      <c r="AH56" s="7">
        <v>3098474.85</v>
      </c>
      <c r="AI56" s="7">
        <v>883678.3</v>
      </c>
      <c r="AJ56" s="7">
        <v>998782.55</v>
      </c>
      <c r="AK56" s="7">
        <v>1401788.1</v>
      </c>
      <c r="AL56" s="7">
        <v>708206</v>
      </c>
      <c r="AM56" s="7">
        <v>1480239.85</v>
      </c>
      <c r="AN56" s="7">
        <v>176567.6</v>
      </c>
      <c r="AO56" s="7">
        <v>763483.75</v>
      </c>
      <c r="AP56" s="7">
        <v>1447153.4</v>
      </c>
      <c r="AQ56" s="7">
        <v>482699.7</v>
      </c>
      <c r="AR56" s="7">
        <v>786436.5</v>
      </c>
      <c r="AS56" s="7">
        <v>846769.6</v>
      </c>
      <c r="AT56" s="7">
        <v>308881</v>
      </c>
      <c r="AU56" s="7">
        <v>471269.75</v>
      </c>
      <c r="AV56" s="7">
        <v>763926.35</v>
      </c>
      <c r="AW56" s="7">
        <v>480151.15</v>
      </c>
      <c r="AX56" s="7">
        <v>1947710.7</v>
      </c>
      <c r="AY56" s="7">
        <v>1637513.2</v>
      </c>
      <c r="AZ56" s="7">
        <v>335644.85</v>
      </c>
      <c r="BA56" s="7">
        <v>9175916.75</v>
      </c>
      <c r="BB56" s="7">
        <v>1414357.95</v>
      </c>
      <c r="BC56" s="7">
        <v>475110.95</v>
      </c>
      <c r="BD56" s="7">
        <v>450220.9</v>
      </c>
      <c r="BE56" s="7">
        <v>849752.35</v>
      </c>
      <c r="BF56" s="7">
        <v>2206604.4</v>
      </c>
      <c r="BG56" s="7">
        <v>247702</v>
      </c>
      <c r="BH56" s="7">
        <v>897912.75000000012</v>
      </c>
      <c r="BI56" s="7">
        <v>897180.45</v>
      </c>
      <c r="BJ56" s="7">
        <v>177912.05</v>
      </c>
      <c r="BK56" s="7">
        <v>121733.7</v>
      </c>
      <c r="BL56" s="7">
        <v>2960802.2</v>
      </c>
      <c r="BM56" s="7">
        <v>449204.65</v>
      </c>
      <c r="BN56" s="7">
        <v>824094.2</v>
      </c>
      <c r="BO56" s="7">
        <v>2453118.7999999998</v>
      </c>
      <c r="BP56" s="7">
        <v>1528981.1</v>
      </c>
      <c r="BQ56" s="7">
        <v>570195.4</v>
      </c>
      <c r="BR56" s="7">
        <v>3511591.15</v>
      </c>
      <c r="BS56" s="7">
        <v>1269487.55</v>
      </c>
      <c r="BT56" s="7">
        <v>836992.15</v>
      </c>
      <c r="BU56" s="7">
        <v>277014.34999999998</v>
      </c>
      <c r="BV56" s="7">
        <v>196839.2</v>
      </c>
      <c r="BW56" s="7">
        <v>2893917.7</v>
      </c>
      <c r="BX56" s="7">
        <v>286068.3</v>
      </c>
      <c r="BY56" s="7">
        <v>685947.45</v>
      </c>
      <c r="BZ56" s="7">
        <v>1997945.75</v>
      </c>
      <c r="CB56" t="s">
        <v>107</v>
      </c>
    </row>
    <row r="57" spans="1:80" x14ac:dyDescent="0.2">
      <c r="B57" t="s">
        <v>86</v>
      </c>
      <c r="C57" s="3">
        <f>SUM(D57:BZ57)</f>
        <v>21810.15</v>
      </c>
      <c r="D57" s="7">
        <v>50.55</v>
      </c>
      <c r="E57" s="7">
        <v>23.5</v>
      </c>
      <c r="F57" s="7">
        <v>0</v>
      </c>
      <c r="G57" s="7">
        <v>0</v>
      </c>
      <c r="H57" s="7">
        <v>6.45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1.4</v>
      </c>
      <c r="O57" s="7">
        <v>23.85</v>
      </c>
      <c r="P57" s="7">
        <v>0.45</v>
      </c>
      <c r="Q57" s="7">
        <v>15.15</v>
      </c>
      <c r="R57" s="7">
        <v>26.8</v>
      </c>
      <c r="S57" s="7">
        <v>17.45</v>
      </c>
      <c r="T57" s="7">
        <v>16.7</v>
      </c>
      <c r="U57" s="7">
        <v>15.3</v>
      </c>
      <c r="V57" s="7">
        <v>0.15</v>
      </c>
      <c r="W57" s="7">
        <v>0.3</v>
      </c>
      <c r="X57" s="7">
        <v>12.55</v>
      </c>
      <c r="Y57" s="7">
        <v>12</v>
      </c>
      <c r="Z57" s="7">
        <v>0</v>
      </c>
      <c r="AA57" s="7">
        <v>14.8</v>
      </c>
      <c r="AB57" s="7">
        <v>8.35</v>
      </c>
      <c r="AC57" s="7">
        <v>14.5</v>
      </c>
      <c r="AD57" s="7">
        <v>10.75</v>
      </c>
      <c r="AE57" s="7">
        <v>14.25</v>
      </c>
      <c r="AF57" s="7">
        <v>12.55</v>
      </c>
      <c r="AG57" s="7">
        <v>27.1</v>
      </c>
      <c r="AH57" s="7">
        <v>41.9</v>
      </c>
      <c r="AI57" s="7">
        <v>5.65</v>
      </c>
      <c r="AJ57" s="7">
        <v>69.7</v>
      </c>
      <c r="AK57" s="7">
        <v>5.95</v>
      </c>
      <c r="AL57" s="7">
        <v>32.450000000000003</v>
      </c>
      <c r="AM57" s="7">
        <v>23.200000000000003</v>
      </c>
      <c r="AN57" s="7">
        <v>13.5</v>
      </c>
      <c r="AO57" s="7">
        <v>26.1</v>
      </c>
      <c r="AP57" s="7">
        <v>9.0500000000000007</v>
      </c>
      <c r="AQ57" s="7">
        <v>24.950000000000003</v>
      </c>
      <c r="AR57" s="7">
        <v>14399.1</v>
      </c>
      <c r="AS57" s="7">
        <v>6.4</v>
      </c>
      <c r="AT57" s="7">
        <v>17.2</v>
      </c>
      <c r="AU57" s="7">
        <v>1.7</v>
      </c>
      <c r="AV57" s="7">
        <v>14.45</v>
      </c>
      <c r="AW57" s="7">
        <v>3.15</v>
      </c>
      <c r="AX57" s="7">
        <v>6.8</v>
      </c>
      <c r="AY57" s="7">
        <v>0</v>
      </c>
      <c r="AZ57" s="7">
        <v>2939.15</v>
      </c>
      <c r="BA57" s="7">
        <v>43.5</v>
      </c>
      <c r="BB57" s="7">
        <v>22.55</v>
      </c>
      <c r="BC57" s="7">
        <v>0.20000000000000018</v>
      </c>
      <c r="BD57" s="7">
        <v>9.35</v>
      </c>
      <c r="BE57" s="7">
        <v>24.95</v>
      </c>
      <c r="BF57" s="7">
        <v>7.05</v>
      </c>
      <c r="BG57" s="7">
        <v>3.65</v>
      </c>
      <c r="BH57" s="7">
        <v>20.100000000000001</v>
      </c>
      <c r="BI57" s="7">
        <v>12</v>
      </c>
      <c r="BJ57" s="7">
        <v>9</v>
      </c>
      <c r="BK57" s="7">
        <v>6.4</v>
      </c>
      <c r="BL57" s="7">
        <v>4.3499999999999996</v>
      </c>
      <c r="BM57" s="7">
        <v>0</v>
      </c>
      <c r="BN57" s="7">
        <v>0.4</v>
      </c>
      <c r="BO57" s="7">
        <v>17.850000000000001</v>
      </c>
      <c r="BP57" s="7">
        <v>3557.55</v>
      </c>
      <c r="BQ57" s="7">
        <v>1.55</v>
      </c>
      <c r="BR57" s="7">
        <v>30.5</v>
      </c>
      <c r="BS57" s="7">
        <v>4.55</v>
      </c>
      <c r="BT57" s="7">
        <v>0.7</v>
      </c>
      <c r="BU57" s="7">
        <v>3.7</v>
      </c>
      <c r="BV57" s="7">
        <v>11</v>
      </c>
      <c r="BW57" s="7">
        <v>22.7</v>
      </c>
      <c r="BX57" s="7">
        <v>0</v>
      </c>
      <c r="BY57" s="7">
        <v>11.75</v>
      </c>
      <c r="BZ57" s="7">
        <v>19.5</v>
      </c>
      <c r="CB57" t="s">
        <v>107</v>
      </c>
    </row>
    <row r="58" spans="1:80" s="19" customFormat="1" x14ac:dyDescent="0.2">
      <c r="B58" s="19" t="s">
        <v>90</v>
      </c>
      <c r="C58" s="13">
        <f>SUM(D58:BZ58)</f>
        <v>104385009.85000001</v>
      </c>
      <c r="D58" s="32">
        <f>D56-D57</f>
        <v>16851736.399999999</v>
      </c>
      <c r="E58" s="32">
        <f t="shared" ref="E58:BN58" si="26">E56-E57</f>
        <v>2081393.25</v>
      </c>
      <c r="F58" s="32">
        <f t="shared" si="26"/>
        <v>280270.90000000002</v>
      </c>
      <c r="G58" s="32">
        <f t="shared" si="26"/>
        <v>170378.35</v>
      </c>
      <c r="H58" s="32">
        <f t="shared" si="26"/>
        <v>1891899.75</v>
      </c>
      <c r="I58" s="32">
        <f t="shared" si="26"/>
        <v>1188319.55</v>
      </c>
      <c r="J58" s="32">
        <f t="shared" si="26"/>
        <v>376225.7</v>
      </c>
      <c r="K58" s="32">
        <f t="shared" si="26"/>
        <v>301232.34999999998</v>
      </c>
      <c r="L58" s="32">
        <f t="shared" si="26"/>
        <v>217145.65</v>
      </c>
      <c r="M58" s="32">
        <f t="shared" si="26"/>
        <v>-44848.15</v>
      </c>
      <c r="N58" s="32">
        <f t="shared" si="26"/>
        <v>155261.65</v>
      </c>
      <c r="O58" s="32">
        <f t="shared" si="26"/>
        <v>1116222.5999999999</v>
      </c>
      <c r="P58" s="32">
        <f t="shared" si="26"/>
        <v>2711163.15</v>
      </c>
      <c r="Q58" s="32">
        <f t="shared" si="26"/>
        <v>799818.15</v>
      </c>
      <c r="R58" s="32">
        <f t="shared" si="26"/>
        <v>836172.89999999991</v>
      </c>
      <c r="S58" s="32">
        <f t="shared" si="26"/>
        <v>1978224.1</v>
      </c>
      <c r="T58" s="32">
        <f t="shared" si="26"/>
        <v>1757069.75</v>
      </c>
      <c r="U58" s="32">
        <f t="shared" si="26"/>
        <v>694056.35</v>
      </c>
      <c r="V58" s="32">
        <f t="shared" si="26"/>
        <v>1212217.7000000002</v>
      </c>
      <c r="W58" s="32">
        <f t="shared" si="26"/>
        <v>1297421.8</v>
      </c>
      <c r="X58" s="32">
        <f t="shared" si="26"/>
        <v>2099670.6</v>
      </c>
      <c r="Y58" s="32">
        <f t="shared" si="26"/>
        <v>998777.55</v>
      </c>
      <c r="Z58" s="32">
        <f t="shared" si="26"/>
        <v>290842.84999999998</v>
      </c>
      <c r="AA58" s="32">
        <f t="shared" si="26"/>
        <v>2547381.25</v>
      </c>
      <c r="AB58" s="32">
        <f t="shared" si="26"/>
        <v>238403.69999999998</v>
      </c>
      <c r="AC58" s="32">
        <f t="shared" si="26"/>
        <v>1804683.95</v>
      </c>
      <c r="AD58" s="32">
        <f t="shared" si="26"/>
        <v>273043.59999999998</v>
      </c>
      <c r="AE58" s="32">
        <f t="shared" si="26"/>
        <v>1346909.05</v>
      </c>
      <c r="AF58" s="32">
        <f t="shared" si="26"/>
        <v>695821.14999999991</v>
      </c>
      <c r="AG58" s="32">
        <f t="shared" si="26"/>
        <v>1563598.0999999999</v>
      </c>
      <c r="AH58" s="32">
        <f t="shared" si="26"/>
        <v>3098432.95</v>
      </c>
      <c r="AI58" s="32">
        <f t="shared" si="26"/>
        <v>883672.65</v>
      </c>
      <c r="AJ58" s="32">
        <f t="shared" si="26"/>
        <v>998712.85000000009</v>
      </c>
      <c r="AK58" s="32">
        <f t="shared" si="26"/>
        <v>1401782.1500000001</v>
      </c>
      <c r="AL58" s="32">
        <f t="shared" si="26"/>
        <v>708173.55</v>
      </c>
      <c r="AM58" s="32">
        <f t="shared" si="26"/>
        <v>1480216.6500000001</v>
      </c>
      <c r="AN58" s="32">
        <f t="shared" si="26"/>
        <v>176554.1</v>
      </c>
      <c r="AO58" s="32">
        <f t="shared" si="26"/>
        <v>763457.65</v>
      </c>
      <c r="AP58" s="32">
        <f t="shared" si="26"/>
        <v>1447144.3499999999</v>
      </c>
      <c r="AQ58" s="32">
        <f t="shared" si="26"/>
        <v>482674.75</v>
      </c>
      <c r="AR58" s="32">
        <f t="shared" si="26"/>
        <v>772037.4</v>
      </c>
      <c r="AS58" s="32">
        <f t="shared" si="26"/>
        <v>846763.2</v>
      </c>
      <c r="AT58" s="32">
        <f t="shared" si="26"/>
        <v>308863.8</v>
      </c>
      <c r="AU58" s="32">
        <f t="shared" si="26"/>
        <v>471268.05</v>
      </c>
      <c r="AV58" s="32">
        <f t="shared" si="26"/>
        <v>763911.9</v>
      </c>
      <c r="AW58" s="32">
        <f t="shared" si="26"/>
        <v>480148</v>
      </c>
      <c r="AX58" s="32">
        <f t="shared" si="26"/>
        <v>1947703.9</v>
      </c>
      <c r="AY58" s="32">
        <f t="shared" si="26"/>
        <v>1637513.2</v>
      </c>
      <c r="AZ58" s="32">
        <f t="shared" si="26"/>
        <v>332705.69999999995</v>
      </c>
      <c r="BA58" s="32">
        <f t="shared" si="26"/>
        <v>9175873.25</v>
      </c>
      <c r="BB58" s="32">
        <f t="shared" si="26"/>
        <v>1414335.4</v>
      </c>
      <c r="BC58" s="32">
        <f t="shared" si="26"/>
        <v>475110.75</v>
      </c>
      <c r="BD58" s="32">
        <f t="shared" si="26"/>
        <v>450211.55000000005</v>
      </c>
      <c r="BE58" s="32">
        <f t="shared" si="26"/>
        <v>849727.4</v>
      </c>
      <c r="BF58" s="32">
        <f t="shared" si="26"/>
        <v>2206597.35</v>
      </c>
      <c r="BG58" s="32">
        <f t="shared" si="26"/>
        <v>247698.35</v>
      </c>
      <c r="BH58" s="32">
        <f t="shared" si="26"/>
        <v>897892.65000000014</v>
      </c>
      <c r="BI58" s="32">
        <f t="shared" si="26"/>
        <v>897168.45</v>
      </c>
      <c r="BJ58" s="32">
        <f t="shared" si="26"/>
        <v>177903.05</v>
      </c>
      <c r="BK58" s="32">
        <f t="shared" si="26"/>
        <v>121727.3</v>
      </c>
      <c r="BL58" s="32">
        <f t="shared" si="26"/>
        <v>2960797.85</v>
      </c>
      <c r="BM58" s="32">
        <f t="shared" si="26"/>
        <v>449204.65</v>
      </c>
      <c r="BN58" s="32">
        <f t="shared" si="26"/>
        <v>824093.79999999993</v>
      </c>
      <c r="BO58" s="32">
        <f t="shared" ref="BO58:BZ58" si="27">BO56-BO57</f>
        <v>2453100.9499999997</v>
      </c>
      <c r="BP58" s="32">
        <f t="shared" si="27"/>
        <v>1525423.55</v>
      </c>
      <c r="BQ58" s="32">
        <f t="shared" si="27"/>
        <v>570193.85</v>
      </c>
      <c r="BR58" s="32">
        <f t="shared" si="27"/>
        <v>3511560.65</v>
      </c>
      <c r="BS58" s="32">
        <f t="shared" si="27"/>
        <v>1269483</v>
      </c>
      <c r="BT58" s="32">
        <f t="shared" si="27"/>
        <v>836991.45000000007</v>
      </c>
      <c r="BU58" s="32">
        <f t="shared" si="27"/>
        <v>277010.64999999997</v>
      </c>
      <c r="BV58" s="32">
        <f t="shared" si="27"/>
        <v>196828.2</v>
      </c>
      <c r="BW58" s="32">
        <f t="shared" si="27"/>
        <v>2893895</v>
      </c>
      <c r="BX58" s="32">
        <f t="shared" si="27"/>
        <v>286068.3</v>
      </c>
      <c r="BY58" s="32">
        <f t="shared" si="27"/>
        <v>685935.7</v>
      </c>
      <c r="BZ58" s="32">
        <f t="shared" si="27"/>
        <v>1997926.25</v>
      </c>
    </row>
    <row r="60" spans="1:80" x14ac:dyDescent="0.2">
      <c r="B60" s="22"/>
      <c r="C60" s="22"/>
      <c r="F60" s="2"/>
      <c r="G60" s="2"/>
      <c r="H60" s="2"/>
      <c r="I60" s="2"/>
    </row>
    <row r="61" spans="1:80" s="40" customFormat="1" ht="15.75" x14ac:dyDescent="0.25">
      <c r="A61" s="20" t="s">
        <v>98</v>
      </c>
      <c r="B61" s="21" t="s">
        <v>227</v>
      </c>
      <c r="C61" s="5"/>
      <c r="D61" s="5"/>
      <c r="E61" s="5"/>
      <c r="F61" s="6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x14ac:dyDescent="0.2">
      <c r="B62" s="22"/>
      <c r="C62" s="3"/>
      <c r="D62" s="3"/>
      <c r="E62" s="3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80" x14ac:dyDescent="0.2">
      <c r="A63" s="23" t="s">
        <v>128</v>
      </c>
      <c r="B63" s="24" t="s">
        <v>4</v>
      </c>
      <c r="C63" s="11"/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23"/>
      <c r="CB63" s="23"/>
    </row>
    <row r="64" spans="1:80" x14ac:dyDescent="0.2">
      <c r="B64" s="26" t="s">
        <v>88</v>
      </c>
      <c r="C64" s="33">
        <f>C70/C68</f>
        <v>1.1429653812687708</v>
      </c>
      <c r="D64" s="8">
        <v>1.41</v>
      </c>
      <c r="E64" s="8">
        <v>1.33</v>
      </c>
      <c r="F64" s="9">
        <v>1.19</v>
      </c>
      <c r="G64" s="9">
        <v>1.27</v>
      </c>
      <c r="H64" s="9">
        <v>0.75</v>
      </c>
      <c r="I64" s="9">
        <v>0.98</v>
      </c>
      <c r="J64" s="9">
        <v>1.1499999999999999</v>
      </c>
      <c r="K64" s="9">
        <v>1.34</v>
      </c>
      <c r="L64" s="9">
        <v>0.82</v>
      </c>
      <c r="M64" s="9">
        <v>1.19</v>
      </c>
      <c r="N64" s="8">
        <v>1.25</v>
      </c>
      <c r="O64" s="8">
        <v>0.96</v>
      </c>
      <c r="P64" s="8">
        <v>1.29</v>
      </c>
      <c r="Q64" s="8">
        <v>0.89</v>
      </c>
      <c r="R64" s="8">
        <v>1.19</v>
      </c>
      <c r="S64" s="8">
        <v>1.0900000000000001</v>
      </c>
      <c r="T64" s="8">
        <v>0.87</v>
      </c>
      <c r="U64" s="8">
        <v>0.95</v>
      </c>
      <c r="V64" s="8">
        <v>0.67</v>
      </c>
      <c r="W64" s="8">
        <v>0.84</v>
      </c>
      <c r="X64" s="8">
        <v>0.76</v>
      </c>
      <c r="Y64" s="8">
        <v>1.04</v>
      </c>
      <c r="Z64" s="8">
        <v>1.1499999999999999</v>
      </c>
      <c r="AA64" s="8">
        <v>1.22</v>
      </c>
      <c r="AB64" s="8">
        <v>1.19</v>
      </c>
      <c r="AC64" s="8">
        <v>1.02</v>
      </c>
      <c r="AD64" s="8">
        <v>1.19</v>
      </c>
      <c r="AE64" s="8">
        <v>0.88</v>
      </c>
      <c r="AF64" s="8">
        <v>1.25</v>
      </c>
      <c r="AG64" s="8">
        <v>1.05</v>
      </c>
      <c r="AH64" s="8">
        <v>1.18</v>
      </c>
      <c r="AI64" s="8">
        <v>1.1000000000000001</v>
      </c>
      <c r="AJ64" s="8">
        <v>1.6</v>
      </c>
      <c r="AK64" s="8">
        <v>1.42</v>
      </c>
      <c r="AL64" s="8">
        <v>1.29</v>
      </c>
      <c r="AM64" s="8">
        <v>0.92</v>
      </c>
      <c r="AN64" s="8">
        <v>1.42</v>
      </c>
      <c r="AO64" s="8">
        <v>1.33</v>
      </c>
      <c r="AP64" s="8">
        <v>1.3</v>
      </c>
      <c r="AQ64" s="8">
        <v>1.1499999999999999</v>
      </c>
      <c r="AR64" s="8">
        <v>1.1499999999999999</v>
      </c>
      <c r="AS64" s="8">
        <v>1.2</v>
      </c>
      <c r="AT64" s="8">
        <v>1.1499999999999999</v>
      </c>
      <c r="AU64" s="8">
        <v>1.25</v>
      </c>
      <c r="AV64" s="8">
        <v>1.3</v>
      </c>
      <c r="AW64" s="8">
        <v>1.06</v>
      </c>
      <c r="AX64" s="8">
        <v>1.1299999999999999</v>
      </c>
      <c r="AY64" s="8">
        <v>1.18</v>
      </c>
      <c r="AZ64" s="8">
        <v>1.1599999999999999</v>
      </c>
      <c r="BA64" s="8">
        <v>0.76</v>
      </c>
      <c r="BB64" s="8">
        <v>1.21</v>
      </c>
      <c r="BC64" s="8">
        <v>1.28</v>
      </c>
      <c r="BD64" s="8">
        <v>1.25</v>
      </c>
      <c r="BE64" s="8">
        <v>1.39</v>
      </c>
      <c r="BF64" s="8">
        <v>1.32</v>
      </c>
      <c r="BG64" s="8">
        <v>1.37</v>
      </c>
      <c r="BH64" s="8">
        <v>1.3261409369678978</v>
      </c>
      <c r="BI64" s="8">
        <v>1.29</v>
      </c>
      <c r="BJ64" s="8">
        <v>1.1499999999999999</v>
      </c>
      <c r="BK64" s="8">
        <v>1.37</v>
      </c>
      <c r="BL64" s="8">
        <v>1.33</v>
      </c>
      <c r="BM64" s="8">
        <v>1.25</v>
      </c>
      <c r="BN64" s="8">
        <v>1.25</v>
      </c>
      <c r="BO64" s="8">
        <v>1.33</v>
      </c>
      <c r="BP64" s="8">
        <v>1.33</v>
      </c>
      <c r="BQ64" s="8">
        <v>1.53</v>
      </c>
      <c r="BR64" s="8">
        <v>1.18</v>
      </c>
      <c r="BS64" s="8">
        <v>0.82</v>
      </c>
      <c r="BT64" s="8">
        <v>1</v>
      </c>
      <c r="BU64" s="8">
        <v>1.29</v>
      </c>
      <c r="BV64" s="8">
        <v>1.1399999999999999</v>
      </c>
      <c r="BW64" s="8">
        <v>1.1599999999999999</v>
      </c>
      <c r="BX64" s="8">
        <v>1.18</v>
      </c>
      <c r="BY64" s="8">
        <v>1.22</v>
      </c>
      <c r="BZ64" s="8">
        <v>1.07</v>
      </c>
      <c r="CB64" t="s">
        <v>107</v>
      </c>
    </row>
    <row r="65" spans="1:80" x14ac:dyDescent="0.2">
      <c r="B65" s="28"/>
      <c r="C65" s="3"/>
      <c r="D65" s="3"/>
      <c r="E65" s="3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B65" s="19"/>
    </row>
    <row r="66" spans="1:80" x14ac:dyDescent="0.2">
      <c r="B66" t="s">
        <v>94</v>
      </c>
      <c r="C66" s="3">
        <f>SUM(D66:BZ66)</f>
        <v>1134522070.1199999</v>
      </c>
      <c r="D66" s="10">
        <v>170817281.00999999</v>
      </c>
      <c r="E66" s="10">
        <v>18462358.470000003</v>
      </c>
      <c r="F66" s="10">
        <v>2823422.8</v>
      </c>
      <c r="G66" s="10">
        <v>2279642.06</v>
      </c>
      <c r="H66" s="10">
        <v>16486195.699999999</v>
      </c>
      <c r="I66" s="10">
        <v>22471405.25</v>
      </c>
      <c r="J66" s="10">
        <v>7561718.0800000001</v>
      </c>
      <c r="K66" s="10">
        <v>1971342.89</v>
      </c>
      <c r="L66" s="10">
        <v>4506358.66</v>
      </c>
      <c r="M66" s="10">
        <v>2374657.67</v>
      </c>
      <c r="N66" s="10">
        <v>5070863.59</v>
      </c>
      <c r="O66" s="10">
        <v>18224786.219999999</v>
      </c>
      <c r="P66" s="10">
        <v>14549701.76</v>
      </c>
      <c r="Q66" s="10">
        <v>15931079.91</v>
      </c>
      <c r="R66" s="10">
        <v>5984678.6399999997</v>
      </c>
      <c r="S66" s="10">
        <v>9216368.8000000007</v>
      </c>
      <c r="T66" s="10">
        <v>17925085.77</v>
      </c>
      <c r="U66" s="10">
        <v>10573107.810000001</v>
      </c>
      <c r="V66" s="10">
        <v>15918942.02</v>
      </c>
      <c r="W66" s="10">
        <v>14663176.43</v>
      </c>
      <c r="X66" s="10">
        <v>22689064.18</v>
      </c>
      <c r="Y66" s="10">
        <v>10439079.68</v>
      </c>
      <c r="Z66" s="10">
        <v>4104449.8999999994</v>
      </c>
      <c r="AA66" s="10">
        <v>24507404.620000005</v>
      </c>
      <c r="AB66" s="10">
        <v>2948279.39</v>
      </c>
      <c r="AC66" s="10">
        <v>17321155.219999999</v>
      </c>
      <c r="AD66" s="10">
        <v>4622140.32</v>
      </c>
      <c r="AE66" s="10">
        <v>11596245.73</v>
      </c>
      <c r="AF66" s="10">
        <v>6780773.71</v>
      </c>
      <c r="AG66" s="10">
        <v>14494337.849999998</v>
      </c>
      <c r="AH66" s="10">
        <v>26676203.299999997</v>
      </c>
      <c r="AI66" s="10">
        <v>9468911.5500000007</v>
      </c>
      <c r="AJ66" s="10">
        <v>8655066.7100000009</v>
      </c>
      <c r="AK66" s="10">
        <v>12147565.059999999</v>
      </c>
      <c r="AL66" s="10">
        <v>9072831.7800000012</v>
      </c>
      <c r="AM66" s="10">
        <v>15794152.23</v>
      </c>
      <c r="AN66" s="10">
        <v>2479999.6800000002</v>
      </c>
      <c r="AO66" s="10">
        <v>16678893.58</v>
      </c>
      <c r="AP66" s="10">
        <v>8891749.2000000011</v>
      </c>
      <c r="AQ66" s="10">
        <v>12214068.030000001</v>
      </c>
      <c r="AR66" s="10">
        <v>6299946.5600000005</v>
      </c>
      <c r="AS66" s="10">
        <v>4955185.2799999993</v>
      </c>
      <c r="AT66" s="10">
        <v>4722006.34</v>
      </c>
      <c r="AU66" s="10">
        <v>6671127.3900000006</v>
      </c>
      <c r="AV66" s="10">
        <v>5514678.9399999995</v>
      </c>
      <c r="AW66" s="10">
        <v>9775448.2599999998</v>
      </c>
      <c r="AX66" s="10">
        <v>13325475.680000002</v>
      </c>
      <c r="AY66" s="10">
        <v>12493083.77</v>
      </c>
      <c r="AZ66" s="10">
        <v>9440201.0600000005</v>
      </c>
      <c r="BA66" s="10">
        <v>99547874.170000002</v>
      </c>
      <c r="BB66" s="10">
        <v>21933039.240000002</v>
      </c>
      <c r="BC66" s="10">
        <v>5522422.0800000001</v>
      </c>
      <c r="BD66" s="10">
        <v>6235157.79</v>
      </c>
      <c r="BE66" s="10">
        <v>8312219.9000000004</v>
      </c>
      <c r="BF66" s="10">
        <v>14951595.17</v>
      </c>
      <c r="BG66" s="10">
        <v>3576357.1199999996</v>
      </c>
      <c r="BH66" s="10">
        <v>9518888.8100000005</v>
      </c>
      <c r="BI66" s="10">
        <v>9029590.9500000011</v>
      </c>
      <c r="BJ66" s="10">
        <v>2650780.0200000005</v>
      </c>
      <c r="BK66" s="10">
        <v>4632134.24</v>
      </c>
      <c r="BL66" s="10">
        <v>17198677.73</v>
      </c>
      <c r="BM66" s="10">
        <v>7993876.9199999999</v>
      </c>
      <c r="BN66" s="10">
        <v>13724271.850000001</v>
      </c>
      <c r="BO66" s="10">
        <v>24955190.349999998</v>
      </c>
      <c r="BP66" s="10">
        <v>18612597.170000002</v>
      </c>
      <c r="BQ66" s="10">
        <v>6480959.7300000004</v>
      </c>
      <c r="BR66" s="10">
        <v>57909642.170000002</v>
      </c>
      <c r="BS66" s="10">
        <v>15331847.35</v>
      </c>
      <c r="BT66" s="10">
        <v>8945297.0800000001</v>
      </c>
      <c r="BU66" s="10">
        <v>3025261.37</v>
      </c>
      <c r="BV66" s="10">
        <v>6594645.3200000003</v>
      </c>
      <c r="BW66" s="10">
        <v>40088462.129999995</v>
      </c>
      <c r="BX66" s="10">
        <v>4811660.709999999</v>
      </c>
      <c r="BY66" s="10">
        <v>6989118.6399999997</v>
      </c>
      <c r="BZ66" s="10">
        <v>23358803.57</v>
      </c>
      <c r="CB66" t="s">
        <v>107</v>
      </c>
    </row>
    <row r="67" spans="1:80" x14ac:dyDescent="0.2">
      <c r="B67" t="s">
        <v>86</v>
      </c>
      <c r="C67" s="3">
        <f>SUM(D67:BZ67)</f>
        <v>6223197.275780485</v>
      </c>
      <c r="D67" s="10">
        <v>1818030.1780674513</v>
      </c>
      <c r="E67" s="10">
        <v>201403.71511387161</v>
      </c>
      <c r="F67" s="10">
        <v>763.08695652173924</v>
      </c>
      <c r="G67" s="10">
        <v>57.591304347826082</v>
      </c>
      <c r="H67" s="10">
        <v>2343.8173913043483</v>
      </c>
      <c r="I67" s="10">
        <v>65036.962079110825</v>
      </c>
      <c r="J67" s="10">
        <v>100519.31718426502</v>
      </c>
      <c r="K67" s="10">
        <v>-7257.5602484472047</v>
      </c>
      <c r="L67" s="10">
        <v>7252.9730848861291</v>
      </c>
      <c r="M67" s="10">
        <v>1607.0521739130436</v>
      </c>
      <c r="N67" s="10">
        <v>8297.1574370709368</v>
      </c>
      <c r="O67" s="10">
        <v>44690.001460172156</v>
      </c>
      <c r="P67" s="10">
        <v>207937.58300098073</v>
      </c>
      <c r="Q67" s="10">
        <v>-20985.470436961958</v>
      </c>
      <c r="R67" s="10">
        <v>35086.062700228838</v>
      </c>
      <c r="S67" s="10">
        <v>163873.97929606627</v>
      </c>
      <c r="T67" s="10">
        <v>139735.36074970034</v>
      </c>
      <c r="U67" s="10">
        <v>99311.201830663616</v>
      </c>
      <c r="V67" s="10">
        <v>33269.114874141866</v>
      </c>
      <c r="W67" s="10">
        <v>95384.313501144192</v>
      </c>
      <c r="X67" s="10">
        <v>19371.010395554098</v>
      </c>
      <c r="Y67" s="10">
        <v>74047.573913043467</v>
      </c>
      <c r="Z67" s="10">
        <v>17798.248033126292</v>
      </c>
      <c r="AA67" s="10">
        <v>111450.53257055685</v>
      </c>
      <c r="AB67" s="10">
        <v>4539.1304347826099</v>
      </c>
      <c r="AC67" s="10">
        <v>53900.726664487316</v>
      </c>
      <c r="AD67" s="10">
        <v>58844.826086956527</v>
      </c>
      <c r="AE67" s="10">
        <v>39220.579274272633</v>
      </c>
      <c r="AF67" s="10">
        <v>25749.573913043481</v>
      </c>
      <c r="AG67" s="10">
        <v>34419.806864988561</v>
      </c>
      <c r="AH67" s="10">
        <v>58660.475602048624</v>
      </c>
      <c r="AI67" s="10">
        <v>82906.086062983522</v>
      </c>
      <c r="AJ67" s="10">
        <v>12794.346976136003</v>
      </c>
      <c r="AK67" s="10">
        <v>74864.136689549967</v>
      </c>
      <c r="AL67" s="10">
        <v>14357.304173477172</v>
      </c>
      <c r="AM67" s="10">
        <v>134884.67429443172</v>
      </c>
      <c r="AN67" s="10">
        <v>6998.4136645962726</v>
      </c>
      <c r="AO67" s="10">
        <v>44807.308880897879</v>
      </c>
      <c r="AP67" s="10">
        <v>47067.57452326468</v>
      </c>
      <c r="AQ67" s="10">
        <v>23662.09244851258</v>
      </c>
      <c r="AR67" s="10">
        <v>14516.55610766045</v>
      </c>
      <c r="AS67" s="10">
        <v>19004.304347826088</v>
      </c>
      <c r="AT67" s="10">
        <v>22891.269565217393</v>
      </c>
      <c r="AU67" s="10">
        <v>74175.469565217383</v>
      </c>
      <c r="AV67" s="10">
        <v>25893.686956521735</v>
      </c>
      <c r="AW67" s="10">
        <v>29474.060869565219</v>
      </c>
      <c r="AX67" s="10">
        <v>133466.78136645962</v>
      </c>
      <c r="AY67" s="10">
        <v>53912.44057971015</v>
      </c>
      <c r="AZ67" s="10">
        <v>10298.876691729325</v>
      </c>
      <c r="BA67" s="10">
        <v>196997.27300860849</v>
      </c>
      <c r="BB67" s="10">
        <v>40464.221510297488</v>
      </c>
      <c r="BC67" s="10">
        <v>32229.043478260872</v>
      </c>
      <c r="BD67" s="10">
        <v>29717.833932657737</v>
      </c>
      <c r="BE67" s="10">
        <v>37186.060869565219</v>
      </c>
      <c r="BF67" s="10">
        <v>25403.052173913034</v>
      </c>
      <c r="BG67" s="10">
        <v>28385.956521739128</v>
      </c>
      <c r="BH67" s="10">
        <v>92074.325640187424</v>
      </c>
      <c r="BI67" s="10">
        <v>41646.308924485129</v>
      </c>
      <c r="BJ67" s="10">
        <v>1278.060869565219</v>
      </c>
      <c r="BK67" s="10">
        <v>4539.3652173913069</v>
      </c>
      <c r="BL67" s="10">
        <v>55826.347826086952</v>
      </c>
      <c r="BM67" s="10">
        <v>26417.095652173917</v>
      </c>
      <c r="BN67" s="10">
        <v>4274.2118993134936</v>
      </c>
      <c r="BO67" s="10">
        <v>782130.01581262937</v>
      </c>
      <c r="BP67" s="10">
        <v>40098.405491990838</v>
      </c>
      <c r="BQ67" s="10">
        <v>42499.130434782608</v>
      </c>
      <c r="BR67" s="10">
        <v>385908.10251716251</v>
      </c>
      <c r="BS67" s="10">
        <v>41927.200000000012</v>
      </c>
      <c r="BT67" s="10">
        <v>-838.21189931350091</v>
      </c>
      <c r="BU67" s="10">
        <v>-2990.7406777814103</v>
      </c>
      <c r="BV67" s="10">
        <v>-26745.530434782606</v>
      </c>
      <c r="BW67" s="10">
        <v>78130.92651193199</v>
      </c>
      <c r="BX67" s="10">
        <v>-3834.434782608696</v>
      </c>
      <c r="BY67" s="10">
        <v>-1940.0090007627787</v>
      </c>
      <c r="BZ67" s="10">
        <v>-47921.040754059053</v>
      </c>
      <c r="CB67" t="s">
        <v>107</v>
      </c>
    </row>
    <row r="68" spans="1:80" x14ac:dyDescent="0.2">
      <c r="B68" t="s">
        <v>95</v>
      </c>
      <c r="C68" s="3">
        <f>SUM(D68:BZ68)</f>
        <v>1128298872.8442192</v>
      </c>
      <c r="D68" s="3">
        <f>D66-D67</f>
        <v>168999250.83193254</v>
      </c>
      <c r="E68" s="3">
        <f t="shared" ref="E68:BN68" si="28">E66-E67</f>
        <v>18260954.754886132</v>
      </c>
      <c r="F68" s="3">
        <f t="shared" si="28"/>
        <v>2822659.7130434779</v>
      </c>
      <c r="G68" s="3">
        <f t="shared" si="28"/>
        <v>2279584.4686956522</v>
      </c>
      <c r="H68" s="3">
        <f t="shared" si="28"/>
        <v>16483851.882608695</v>
      </c>
      <c r="I68" s="3">
        <f t="shared" si="28"/>
        <v>22406368.287920889</v>
      </c>
      <c r="J68" s="3">
        <f t="shared" si="28"/>
        <v>7461198.7628157353</v>
      </c>
      <c r="K68" s="3">
        <f t="shared" si="28"/>
        <v>1978600.450248447</v>
      </c>
      <c r="L68" s="3">
        <f t="shared" si="28"/>
        <v>4499105.6869151136</v>
      </c>
      <c r="M68" s="3">
        <f t="shared" si="28"/>
        <v>2373050.6178260869</v>
      </c>
      <c r="N68" s="3">
        <f t="shared" si="28"/>
        <v>5062566.4325629286</v>
      </c>
      <c r="O68" s="3">
        <f t="shared" si="28"/>
        <v>18180096.218539827</v>
      </c>
      <c r="P68" s="3">
        <f t="shared" si="28"/>
        <v>14341764.176999019</v>
      </c>
      <c r="Q68" s="3">
        <f t="shared" si="28"/>
        <v>15952065.380436962</v>
      </c>
      <c r="R68" s="3">
        <f t="shared" si="28"/>
        <v>5949592.5772997709</v>
      </c>
      <c r="S68" s="3">
        <f t="shared" si="28"/>
        <v>9052494.8207039349</v>
      </c>
      <c r="T68" s="3">
        <f t="shared" si="28"/>
        <v>17785350.4092503</v>
      </c>
      <c r="U68" s="3">
        <f t="shared" si="28"/>
        <v>10473796.608169338</v>
      </c>
      <c r="V68" s="3">
        <f t="shared" si="28"/>
        <v>15885672.905125858</v>
      </c>
      <c r="W68" s="3">
        <f t="shared" si="28"/>
        <v>14567792.116498856</v>
      </c>
      <c r="X68" s="3">
        <f t="shared" si="28"/>
        <v>22669693.169604447</v>
      </c>
      <c r="Y68" s="3">
        <f t="shared" si="28"/>
        <v>10365032.106086956</v>
      </c>
      <c r="Z68" s="3">
        <f t="shared" si="28"/>
        <v>4086651.6519668731</v>
      </c>
      <c r="AA68" s="3">
        <f t="shared" si="28"/>
        <v>24395954.087429449</v>
      </c>
      <c r="AB68" s="3">
        <f t="shared" si="28"/>
        <v>2943740.2595652174</v>
      </c>
      <c r="AC68" s="3">
        <f t="shared" si="28"/>
        <v>17267254.493335512</v>
      </c>
      <c r="AD68" s="3">
        <f t="shared" si="28"/>
        <v>4563295.4939130442</v>
      </c>
      <c r="AE68" s="3">
        <f t="shared" si="28"/>
        <v>11557025.150725728</v>
      </c>
      <c r="AF68" s="3">
        <f t="shared" si="28"/>
        <v>6755024.1360869566</v>
      </c>
      <c r="AG68" s="3">
        <f t="shared" si="28"/>
        <v>14459918.04313501</v>
      </c>
      <c r="AH68" s="3">
        <f t="shared" si="28"/>
        <v>26617542.824397948</v>
      </c>
      <c r="AI68" s="3">
        <f t="shared" si="28"/>
        <v>9386005.4639370181</v>
      </c>
      <c r="AJ68" s="3">
        <f t="shared" si="28"/>
        <v>8642272.3630238641</v>
      </c>
      <c r="AK68" s="3">
        <f t="shared" si="28"/>
        <v>12072700.923310449</v>
      </c>
      <c r="AL68" s="3">
        <f t="shared" si="28"/>
        <v>9058474.4758265242</v>
      </c>
      <c r="AM68" s="3">
        <f t="shared" si="28"/>
        <v>15659267.555705568</v>
      </c>
      <c r="AN68" s="3">
        <f t="shared" si="28"/>
        <v>2473001.266335404</v>
      </c>
      <c r="AO68" s="3">
        <f t="shared" si="28"/>
        <v>16634086.271119103</v>
      </c>
      <c r="AP68" s="3">
        <f t="shared" si="28"/>
        <v>8844681.6254767366</v>
      </c>
      <c r="AQ68" s="3">
        <f t="shared" si="28"/>
        <v>12190405.937551489</v>
      </c>
      <c r="AR68" s="3">
        <f t="shared" si="28"/>
        <v>6285430.0038923398</v>
      </c>
      <c r="AS68" s="3">
        <f t="shared" si="28"/>
        <v>4936180.9756521732</v>
      </c>
      <c r="AT68" s="3">
        <f t="shared" si="28"/>
        <v>4699115.0704347827</v>
      </c>
      <c r="AU68" s="3">
        <f t="shared" si="28"/>
        <v>6596951.9204347832</v>
      </c>
      <c r="AV68" s="3">
        <f t="shared" si="28"/>
        <v>5488785.2530434774</v>
      </c>
      <c r="AW68" s="3">
        <f t="shared" si="28"/>
        <v>9745974.1991304345</v>
      </c>
      <c r="AX68" s="3">
        <f t="shared" si="28"/>
        <v>13192008.898633542</v>
      </c>
      <c r="AY68" s="3">
        <f t="shared" si="28"/>
        <v>12439171.329420289</v>
      </c>
      <c r="AZ68" s="3">
        <f t="shared" si="28"/>
        <v>9429902.1833082717</v>
      </c>
      <c r="BA68" s="3">
        <f t="shared" si="28"/>
        <v>99350876.896991387</v>
      </c>
      <c r="BB68" s="3">
        <f t="shared" si="28"/>
        <v>21892575.018489704</v>
      </c>
      <c r="BC68" s="3">
        <f t="shared" si="28"/>
        <v>5490193.0365217393</v>
      </c>
      <c r="BD68" s="3">
        <f t="shared" si="28"/>
        <v>6205439.9560673423</v>
      </c>
      <c r="BE68" s="3">
        <f t="shared" si="28"/>
        <v>8275033.8391304351</v>
      </c>
      <c r="BF68" s="3">
        <f t="shared" si="28"/>
        <v>14926192.117826087</v>
      </c>
      <c r="BG68" s="3">
        <f t="shared" si="28"/>
        <v>3547971.1634782604</v>
      </c>
      <c r="BH68" s="3">
        <f t="shared" ref="BH68" si="29">BH66-BH67</f>
        <v>9426814.4843598139</v>
      </c>
      <c r="BI68" s="3">
        <f t="shared" si="28"/>
        <v>8987944.6410755161</v>
      </c>
      <c r="BJ68" s="3">
        <f t="shared" si="28"/>
        <v>2649501.9591304353</v>
      </c>
      <c r="BK68" s="3">
        <f t="shared" si="28"/>
        <v>4627594.8747826088</v>
      </c>
      <c r="BL68" s="3">
        <f t="shared" si="28"/>
        <v>17142851.382173914</v>
      </c>
      <c r="BM68" s="3">
        <f t="shared" si="28"/>
        <v>7967459.8243478257</v>
      </c>
      <c r="BN68" s="3">
        <f t="shared" si="28"/>
        <v>13719997.638100687</v>
      </c>
      <c r="BO68" s="3">
        <f t="shared" ref="BO68:BZ68" si="30">BO66-BO67</f>
        <v>24173060.33418737</v>
      </c>
      <c r="BP68" s="3">
        <f t="shared" si="30"/>
        <v>18572498.764508013</v>
      </c>
      <c r="BQ68" s="3">
        <f t="shared" si="30"/>
        <v>6438460.5995652182</v>
      </c>
      <c r="BR68" s="3">
        <f t="shared" si="30"/>
        <v>57523734.067482837</v>
      </c>
      <c r="BS68" s="3">
        <f t="shared" si="30"/>
        <v>15289920.15</v>
      </c>
      <c r="BT68" s="3">
        <f t="shared" si="30"/>
        <v>8946135.2918993142</v>
      </c>
      <c r="BU68" s="3">
        <f t="shared" si="30"/>
        <v>3028252.1106777815</v>
      </c>
      <c r="BV68" s="3">
        <f t="shared" si="30"/>
        <v>6621390.8504347829</v>
      </c>
      <c r="BW68" s="3">
        <f t="shared" si="30"/>
        <v>40010331.203488067</v>
      </c>
      <c r="BX68" s="3">
        <f t="shared" si="30"/>
        <v>4815495.1447826074</v>
      </c>
      <c r="BY68" s="3">
        <f t="shared" si="30"/>
        <v>6991058.649000762</v>
      </c>
      <c r="BZ68" s="3">
        <f t="shared" si="30"/>
        <v>23406724.610754058</v>
      </c>
    </row>
    <row r="69" spans="1:80" x14ac:dyDescent="0.2">
      <c r="C69" s="3"/>
      <c r="D69" s="3"/>
      <c r="E69" s="3"/>
      <c r="F69" s="3"/>
      <c r="G69" s="3"/>
      <c r="H69" s="1"/>
      <c r="I69" s="1"/>
      <c r="J69" s="1"/>
      <c r="K69" s="1"/>
      <c r="L69" s="1"/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80" x14ac:dyDescent="0.2">
      <c r="B70" t="s">
        <v>96</v>
      </c>
      <c r="C70" s="3">
        <f>SUM(D70:BZ70)</f>
        <v>1289606551.3855174</v>
      </c>
      <c r="D70" s="3">
        <f t="shared" ref="D70:AI70" si="31">D68*D64</f>
        <v>238288943.67302486</v>
      </c>
      <c r="E70" s="3">
        <f t="shared" si="31"/>
        <v>24287069.823998556</v>
      </c>
      <c r="F70" s="3">
        <f t="shared" si="31"/>
        <v>3358965.0585217383</v>
      </c>
      <c r="G70" s="3">
        <f t="shared" si="31"/>
        <v>2895072.2752434784</v>
      </c>
      <c r="H70" s="3">
        <f t="shared" si="31"/>
        <v>12362888.911956521</v>
      </c>
      <c r="I70" s="3">
        <f t="shared" si="31"/>
        <v>21958240.922162469</v>
      </c>
      <c r="J70" s="3">
        <f t="shared" si="31"/>
        <v>8580378.5772380941</v>
      </c>
      <c r="K70" s="3">
        <f t="shared" si="31"/>
        <v>2651324.6033329191</v>
      </c>
      <c r="L70" s="3">
        <f t="shared" si="31"/>
        <v>3689266.6632703929</v>
      </c>
      <c r="M70" s="3">
        <f t="shared" si="31"/>
        <v>2823930.2352130432</v>
      </c>
      <c r="N70" s="3">
        <f t="shared" si="31"/>
        <v>6328208.0407036608</v>
      </c>
      <c r="O70" s="3">
        <f t="shared" si="31"/>
        <v>17452892.369798232</v>
      </c>
      <c r="P70" s="3">
        <f t="shared" si="31"/>
        <v>18500875.788328737</v>
      </c>
      <c r="Q70" s="3">
        <f t="shared" si="31"/>
        <v>14197338.188588897</v>
      </c>
      <c r="R70" s="3">
        <f t="shared" si="31"/>
        <v>7080015.1669867272</v>
      </c>
      <c r="S70" s="3">
        <f t="shared" si="31"/>
        <v>9867219.3545672894</v>
      </c>
      <c r="T70" s="3">
        <f t="shared" si="31"/>
        <v>15473254.856047761</v>
      </c>
      <c r="U70" s="3">
        <f t="shared" si="31"/>
        <v>9950106.7777608708</v>
      </c>
      <c r="V70" s="3">
        <f t="shared" si="31"/>
        <v>10643400.846434325</v>
      </c>
      <c r="W70" s="3">
        <f t="shared" si="31"/>
        <v>12236945.377859039</v>
      </c>
      <c r="X70" s="3">
        <f t="shared" si="31"/>
        <v>17228966.80889938</v>
      </c>
      <c r="Y70" s="3">
        <f t="shared" si="31"/>
        <v>10779633.390330436</v>
      </c>
      <c r="Z70" s="3">
        <f t="shared" si="31"/>
        <v>4699649.399761904</v>
      </c>
      <c r="AA70" s="3">
        <f t="shared" si="31"/>
        <v>29763063.986663926</v>
      </c>
      <c r="AB70" s="3">
        <f t="shared" si="31"/>
        <v>3503050.9088826086</v>
      </c>
      <c r="AC70" s="3">
        <f t="shared" si="31"/>
        <v>17612599.58320222</v>
      </c>
      <c r="AD70" s="3">
        <f t="shared" si="31"/>
        <v>5430321.6377565227</v>
      </c>
      <c r="AE70" s="3">
        <f t="shared" si="31"/>
        <v>10170182.132638641</v>
      </c>
      <c r="AF70" s="3">
        <f t="shared" si="31"/>
        <v>8443780.1701086964</v>
      </c>
      <c r="AG70" s="3">
        <f t="shared" si="31"/>
        <v>15182913.945291761</v>
      </c>
      <c r="AH70" s="3">
        <f t="shared" si="31"/>
        <v>31408700.532789577</v>
      </c>
      <c r="AI70" s="3">
        <f t="shared" si="31"/>
        <v>10324606.01033072</v>
      </c>
      <c r="AJ70" s="3">
        <f t="shared" ref="AJ70:BM70" si="32">AJ68*AJ64</f>
        <v>13827635.780838184</v>
      </c>
      <c r="AK70" s="3">
        <f t="shared" si="32"/>
        <v>17143235.311100837</v>
      </c>
      <c r="AL70" s="3">
        <f t="shared" si="32"/>
        <v>11685432.073816216</v>
      </c>
      <c r="AM70" s="3">
        <f t="shared" si="32"/>
        <v>14406526.151249124</v>
      </c>
      <c r="AN70" s="3">
        <f t="shared" si="32"/>
        <v>3511661.7981962734</v>
      </c>
      <c r="AO70" s="3">
        <f t="shared" si="32"/>
        <v>22123334.740588408</v>
      </c>
      <c r="AP70" s="3">
        <f t="shared" si="32"/>
        <v>11498086.113119759</v>
      </c>
      <c r="AQ70" s="3">
        <f t="shared" si="32"/>
        <v>14018966.828184212</v>
      </c>
      <c r="AR70" s="3">
        <f t="shared" si="32"/>
        <v>7228244.5044761905</v>
      </c>
      <c r="AS70" s="3">
        <f t="shared" si="32"/>
        <v>5923417.170782608</v>
      </c>
      <c r="AT70" s="3">
        <f t="shared" si="32"/>
        <v>5403982.3309999993</v>
      </c>
      <c r="AU70" s="3">
        <f t="shared" si="32"/>
        <v>8246189.9005434792</v>
      </c>
      <c r="AV70" s="3">
        <f t="shared" si="32"/>
        <v>7135420.8289565211</v>
      </c>
      <c r="AW70" s="3">
        <f t="shared" si="32"/>
        <v>10330732.651078261</v>
      </c>
      <c r="AX70" s="3">
        <f t="shared" si="32"/>
        <v>14906970.055455901</v>
      </c>
      <c r="AY70" s="3">
        <f t="shared" si="32"/>
        <v>14678222.168715941</v>
      </c>
      <c r="AZ70" s="3">
        <f t="shared" si="32"/>
        <v>10938686.532637594</v>
      </c>
      <c r="BA70" s="3">
        <f t="shared" si="32"/>
        <v>75506666.441713452</v>
      </c>
      <c r="BB70" s="3">
        <f t="shared" si="32"/>
        <v>26490015.77237254</v>
      </c>
      <c r="BC70" s="3">
        <f t="shared" si="32"/>
        <v>7027447.0867478261</v>
      </c>
      <c r="BD70" s="3">
        <f t="shared" si="32"/>
        <v>7756799.9450841779</v>
      </c>
      <c r="BE70" s="3">
        <f t="shared" si="32"/>
        <v>11502297.036391305</v>
      </c>
      <c r="BF70" s="3">
        <f t="shared" si="32"/>
        <v>19702573.595530435</v>
      </c>
      <c r="BG70" s="3">
        <f t="shared" si="32"/>
        <v>4860720.4939652169</v>
      </c>
      <c r="BH70" s="3">
        <f>BH68*BH64</f>
        <v>12501284.592911474</v>
      </c>
      <c r="BI70" s="3">
        <f t="shared" si="32"/>
        <v>11594448.586987415</v>
      </c>
      <c r="BJ70" s="3">
        <f t="shared" si="32"/>
        <v>3046927.2530000005</v>
      </c>
      <c r="BK70" s="3">
        <f t="shared" si="32"/>
        <v>6339804.9784521749</v>
      </c>
      <c r="BL70" s="3">
        <f t="shared" si="32"/>
        <v>22799992.338291306</v>
      </c>
      <c r="BM70" s="3">
        <f t="shared" si="32"/>
        <v>9959324.7804347817</v>
      </c>
      <c r="BN70" s="3">
        <f t="shared" ref="BN70:BZ70" si="33">BN68*BN64</f>
        <v>17149997.047625858</v>
      </c>
      <c r="BO70" s="3">
        <f t="shared" si="33"/>
        <v>32150170.244469203</v>
      </c>
      <c r="BP70" s="3">
        <f t="shared" si="33"/>
        <v>24701423.356795657</v>
      </c>
      <c r="BQ70" s="3">
        <f t="shared" si="33"/>
        <v>9850844.7173347846</v>
      </c>
      <c r="BR70" s="3">
        <f t="shared" si="33"/>
        <v>67878006.199629739</v>
      </c>
      <c r="BS70" s="3">
        <f t="shared" si="33"/>
        <v>12537734.523</v>
      </c>
      <c r="BT70" s="3">
        <f t="shared" si="33"/>
        <v>8946135.2918993142</v>
      </c>
      <c r="BU70" s="3">
        <f t="shared" si="33"/>
        <v>3906445.2227743384</v>
      </c>
      <c r="BV70" s="3">
        <f t="shared" si="33"/>
        <v>7548385.5694956519</v>
      </c>
      <c r="BW70" s="3">
        <f t="shared" si="33"/>
        <v>46411984.196046151</v>
      </c>
      <c r="BX70" s="3">
        <f t="shared" si="33"/>
        <v>5682284.2708434761</v>
      </c>
      <c r="BY70" s="3">
        <f t="shared" si="33"/>
        <v>8529091.5517809298</v>
      </c>
      <c r="BZ70" s="3">
        <f t="shared" si="33"/>
        <v>25045195.333506845</v>
      </c>
    </row>
    <row r="71" spans="1:80" x14ac:dyDescent="0.2">
      <c r="C71" s="3"/>
      <c r="D71" s="3"/>
      <c r="E71" s="3"/>
      <c r="F71" s="3"/>
      <c r="G71" s="3"/>
      <c r="H71" s="1"/>
      <c r="I71" s="1"/>
      <c r="J71" s="1"/>
      <c r="K71" s="1"/>
      <c r="L71" s="1"/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1:80" s="19" customFormat="1" x14ac:dyDescent="0.2">
      <c r="B72" s="19" t="s">
        <v>89</v>
      </c>
      <c r="C72" s="13">
        <f t="shared" ref="C72:AH72" si="34">C68*$C64</f>
        <v>1289606551.3855174</v>
      </c>
      <c r="D72" s="13">
        <f t="shared" si="34"/>
        <v>193160293.1612564</v>
      </c>
      <c r="E72" s="13">
        <f t="shared" si="34"/>
        <v>20871639.113750201</v>
      </c>
      <c r="F72" s="13">
        <f t="shared" si="34"/>
        <v>3226202.3351107379</v>
      </c>
      <c r="G72" s="13">
        <f t="shared" si="34"/>
        <v>2605486.1313970946</v>
      </c>
      <c r="H72" s="13">
        <f t="shared" si="34"/>
        <v>18840472.051783793</v>
      </c>
      <c r="I72" s="13">
        <f t="shared" si="34"/>
        <v>25609703.273051992</v>
      </c>
      <c r="J72" s="13">
        <f t="shared" si="34"/>
        <v>8527891.8886637669</v>
      </c>
      <c r="K72" s="13">
        <f t="shared" si="34"/>
        <v>2261471.8179967776</v>
      </c>
      <c r="L72" s="13">
        <f t="shared" si="34"/>
        <v>5142322.0468134275</v>
      </c>
      <c r="M72" s="13">
        <f t="shared" si="34"/>
        <v>2712314.7041736855</v>
      </c>
      <c r="N72" s="13">
        <f t="shared" si="34"/>
        <v>5786338.1727927681</v>
      </c>
      <c r="O72" s="13">
        <f t="shared" si="34"/>
        <v>20779220.605926313</v>
      </c>
      <c r="P72" s="13">
        <f t="shared" si="34"/>
        <v>16392139.960630482</v>
      </c>
      <c r="Q72" s="13">
        <f t="shared" si="34"/>
        <v>18232658.48957549</v>
      </c>
      <c r="R72" s="13">
        <f t="shared" si="34"/>
        <v>6800178.3485072814</v>
      </c>
      <c r="S72" s="13">
        <f t="shared" si="34"/>
        <v>10346688.194179446</v>
      </c>
      <c r="T72" s="13">
        <f t="shared" si="34"/>
        <v>20328039.81150746</v>
      </c>
      <c r="U72" s="13">
        <f t="shared" si="34"/>
        <v>11971186.933587825</v>
      </c>
      <c r="V72" s="13">
        <f t="shared" si="34"/>
        <v>18156774.188718159</v>
      </c>
      <c r="W72" s="13">
        <f t="shared" si="34"/>
        <v>16650482.070678309</v>
      </c>
      <c r="X72" s="13">
        <f t="shared" si="34"/>
        <v>25910674.496842995</v>
      </c>
      <c r="Y72" s="13">
        <f t="shared" si="34"/>
        <v>11846872.872996729</v>
      </c>
      <c r="Z72" s="13">
        <f t="shared" si="34"/>
        <v>4670901.363502969</v>
      </c>
      <c r="AA72" s="13">
        <f t="shared" si="34"/>
        <v>27883730.964954227</v>
      </c>
      <c r="AB72" s="13">
        <f t="shared" si="34"/>
        <v>3364593.2081301892</v>
      </c>
      <c r="AC72" s="13">
        <f t="shared" si="34"/>
        <v>19735874.115440119</v>
      </c>
      <c r="AD72" s="13">
        <f t="shared" si="34"/>
        <v>5215688.7740423866</v>
      </c>
      <c r="AE72" s="13">
        <f t="shared" si="34"/>
        <v>13209279.657732004</v>
      </c>
      <c r="AF72" s="13">
        <f t="shared" si="34"/>
        <v>7720758.7371823769</v>
      </c>
      <c r="AG72" s="13">
        <f t="shared" si="34"/>
        <v>16527185.739286985</v>
      </c>
      <c r="AH72" s="13">
        <f t="shared" si="34"/>
        <v>30422929.982725833</v>
      </c>
      <c r="AI72" s="13">
        <f t="shared" ref="AI72:BL72" si="35">AI68*$C64</f>
        <v>10727879.313679541</v>
      </c>
      <c r="AJ72" s="13">
        <f t="shared" si="35"/>
        <v>9877818.126432132</v>
      </c>
      <c r="AK72" s="13">
        <f t="shared" si="35"/>
        <v>13798679.213755369</v>
      </c>
      <c r="AL72" s="13">
        <f t="shared" si="35"/>
        <v>10353522.732976492</v>
      </c>
      <c r="AM72" s="13">
        <f t="shared" si="35"/>
        <v>17898000.712196708</v>
      </c>
      <c r="AN72" s="13">
        <f t="shared" si="35"/>
        <v>2826554.8352551982</v>
      </c>
      <c r="AO72" s="13">
        <f t="shared" si="35"/>
        <v>19012184.75692727</v>
      </c>
      <c r="AP72" s="13">
        <f t="shared" si="35"/>
        <v>10109164.90626391</v>
      </c>
      <c r="AQ72" s="13">
        <f t="shared" si="35"/>
        <v>13933211.970234625</v>
      </c>
      <c r="AR72" s="13">
        <f t="shared" si="35"/>
        <v>7184028.90083698</v>
      </c>
      <c r="AS72" s="13">
        <f t="shared" si="35"/>
        <v>5641883.9708479391</v>
      </c>
      <c r="AT72" s="13">
        <f t="shared" si="35"/>
        <v>5370925.8481053179</v>
      </c>
      <c r="AU72" s="13">
        <f t="shared" si="35"/>
        <v>7540087.6669514915</v>
      </c>
      <c r="AV72" s="13">
        <f t="shared" si="35"/>
        <v>6273491.5294472445</v>
      </c>
      <c r="AW72" s="13">
        <f t="shared" si="35"/>
        <v>11139311.11634472</v>
      </c>
      <c r="AX72" s="13">
        <f t="shared" si="35"/>
        <v>15078009.480527703</v>
      </c>
      <c r="AY72" s="13">
        <f t="shared" si="35"/>
        <v>14217542.201198423</v>
      </c>
      <c r="AZ72" s="13">
        <f t="shared" si="35"/>
        <v>10778051.744272152</v>
      </c>
      <c r="BA72" s="13">
        <f t="shared" si="35"/>
        <v>113554612.89195648</v>
      </c>
      <c r="BB72" s="13">
        <f t="shared" si="35"/>
        <v>25022455.35296325</v>
      </c>
      <c r="BC72" s="13">
        <f t="shared" si="35"/>
        <v>6275100.5772272199</v>
      </c>
      <c r="BD72" s="13">
        <f t="shared" si="35"/>
        <v>7092603.0453269742</v>
      </c>
      <c r="BE72" s="13">
        <f t="shared" si="35"/>
        <v>9458077.2069536988</v>
      </c>
      <c r="BF72" s="13">
        <f t="shared" si="35"/>
        <v>17060120.864842016</v>
      </c>
      <c r="BG72" s="13">
        <f t="shared" si="35"/>
        <v>4055208.2135955342</v>
      </c>
      <c r="BH72" s="13">
        <f t="shared" ref="BH72" si="36">BH68*$C64</f>
        <v>10774522.611266285</v>
      </c>
      <c r="BI72" s="13">
        <f t="shared" si="35"/>
        <v>10272909.573509483</v>
      </c>
      <c r="BJ72" s="13">
        <f t="shared" si="35"/>
        <v>3028289.016889873</v>
      </c>
      <c r="BK72" s="13">
        <f t="shared" si="35"/>
        <v>5289180.7404133137</v>
      </c>
      <c r="BL72" s="13">
        <f t="shared" si="35"/>
        <v>19593685.666060284</v>
      </c>
      <c r="BM72" s="13">
        <f t="shared" ref="BM72:BZ72" si="37">BM68*$C64</f>
        <v>9106530.7558793258</v>
      </c>
      <c r="BN72" s="13">
        <f t="shared" si="37"/>
        <v>15681482.331438387</v>
      </c>
      <c r="BO72" s="13">
        <f t="shared" si="37"/>
        <v>27628971.121297467</v>
      </c>
      <c r="BP72" s="13">
        <f t="shared" si="37"/>
        <v>21227723.131489675</v>
      </c>
      <c r="BQ72" s="13">
        <f t="shared" si="37"/>
        <v>7358937.5739660179</v>
      </c>
      <c r="BR72" s="13">
        <f t="shared" si="37"/>
        <v>65747636.640443899</v>
      </c>
      <c r="BS72" s="13">
        <f t="shared" si="37"/>
        <v>17475849.413813811</v>
      </c>
      <c r="BT72" s="13">
        <f t="shared" si="37"/>
        <v>10225122.934787706</v>
      </c>
      <c r="BU72" s="13">
        <f t="shared" si="37"/>
        <v>3461187.3282587905</v>
      </c>
      <c r="BV72" s="13">
        <f t="shared" si="37"/>
        <v>7568020.5178967416</v>
      </c>
      <c r="BW72" s="13">
        <f t="shared" si="37"/>
        <v>45730423.458684534</v>
      </c>
      <c r="BX72" s="13">
        <f t="shared" si="37"/>
        <v>5503944.2441543676</v>
      </c>
      <c r="BY72" s="13">
        <f t="shared" si="37"/>
        <v>7990538.0142274937</v>
      </c>
      <c r="BZ72" s="13">
        <f t="shared" si="37"/>
        <v>26753075.918983631</v>
      </c>
    </row>
    <row r="73" spans="1:80" x14ac:dyDescent="0.2">
      <c r="C73" s="3"/>
      <c r="D73" s="3"/>
      <c r="E73" s="3"/>
      <c r="F73" s="3"/>
      <c r="G73" s="3"/>
      <c r="H73" s="1"/>
      <c r="I73" s="1"/>
      <c r="J73" s="1"/>
      <c r="K73" s="1"/>
      <c r="L73" s="1"/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80" s="19" customFormat="1" x14ac:dyDescent="0.2">
      <c r="A74" s="23" t="s">
        <v>129</v>
      </c>
      <c r="B74" s="24" t="s">
        <v>0</v>
      </c>
      <c r="C74" s="14"/>
      <c r="D74" s="14"/>
      <c r="E74" s="14"/>
      <c r="F74" s="14"/>
      <c r="G74" s="14"/>
      <c r="H74" s="15"/>
      <c r="I74" s="15"/>
      <c r="J74" s="15"/>
      <c r="K74" s="15"/>
      <c r="L74" s="15"/>
      <c r="M74" s="15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25"/>
      <c r="CB74" s="23"/>
    </row>
    <row r="75" spans="1:80" x14ac:dyDescent="0.2">
      <c r="B75" t="s">
        <v>81</v>
      </c>
      <c r="C75" s="3">
        <f>SUM(D75:BZ75)</f>
        <v>65715613.349999979</v>
      </c>
      <c r="D75" s="7">
        <v>13937547.25</v>
      </c>
      <c r="E75" s="7">
        <v>643301.94999999995</v>
      </c>
      <c r="F75" s="7">
        <v>93643.15</v>
      </c>
      <c r="G75" s="7">
        <v>59070.55</v>
      </c>
      <c r="H75" s="7">
        <v>63580.30000000001</v>
      </c>
      <c r="I75" s="7">
        <v>762755.1</v>
      </c>
      <c r="J75" s="7">
        <v>692093.8</v>
      </c>
      <c r="K75" s="7">
        <v>42748.6</v>
      </c>
      <c r="L75" s="7">
        <v>62744.149999999994</v>
      </c>
      <c r="M75" s="7">
        <v>23902.149999999998</v>
      </c>
      <c r="N75" s="7">
        <v>39667.65</v>
      </c>
      <c r="O75" s="7">
        <v>532118.80000000005</v>
      </c>
      <c r="P75" s="7">
        <v>2178045.7000000002</v>
      </c>
      <c r="Q75" s="7">
        <v>1520554.5</v>
      </c>
      <c r="R75" s="7">
        <v>456217.59999999998</v>
      </c>
      <c r="S75" s="7">
        <v>2243757.2000000002</v>
      </c>
      <c r="T75" s="7">
        <v>2546821.6500000004</v>
      </c>
      <c r="U75" s="7">
        <v>591954.35</v>
      </c>
      <c r="V75" s="7">
        <v>2519081.2500000005</v>
      </c>
      <c r="W75" s="7">
        <v>2029689.4499999997</v>
      </c>
      <c r="X75" s="7">
        <v>2411906.5499999998</v>
      </c>
      <c r="Y75" s="7">
        <v>720021.2</v>
      </c>
      <c r="Z75" s="7">
        <v>223839.85</v>
      </c>
      <c r="AA75" s="7">
        <v>2391520.1500000004</v>
      </c>
      <c r="AB75" s="7">
        <v>99751.2</v>
      </c>
      <c r="AC75" s="7">
        <v>1622895.65</v>
      </c>
      <c r="AD75" s="7">
        <v>481506.94999999995</v>
      </c>
      <c r="AE75" s="7">
        <v>2056213.5499999998</v>
      </c>
      <c r="AF75" s="7">
        <v>334655.14999999997</v>
      </c>
      <c r="AG75" s="7">
        <v>1263092.9000000001</v>
      </c>
      <c r="AH75" s="7">
        <v>2766392.6</v>
      </c>
      <c r="AI75" s="7">
        <v>824134.8</v>
      </c>
      <c r="AJ75" s="7">
        <v>687881.99999999988</v>
      </c>
      <c r="AK75" s="7">
        <v>670722.80000000005</v>
      </c>
      <c r="AL75" s="7">
        <v>313890.65000000002</v>
      </c>
      <c r="AM75" s="7">
        <v>867056.29999999993</v>
      </c>
      <c r="AN75" s="7">
        <v>249661.8</v>
      </c>
      <c r="AO75" s="7">
        <v>388724.89999999991</v>
      </c>
      <c r="AP75" s="7">
        <v>374920.5</v>
      </c>
      <c r="AQ75" s="7">
        <v>489650.5</v>
      </c>
      <c r="AR75" s="7">
        <v>245070.15000000002</v>
      </c>
      <c r="AS75" s="7">
        <v>69514.399999999994</v>
      </c>
      <c r="AT75" s="7">
        <v>110626.6</v>
      </c>
      <c r="AU75" s="7">
        <v>208576.9</v>
      </c>
      <c r="AV75" s="7">
        <v>248896.45</v>
      </c>
      <c r="AW75" s="7">
        <v>226361.05</v>
      </c>
      <c r="AX75" s="7">
        <v>252852.25</v>
      </c>
      <c r="AY75" s="7">
        <v>551215.30000000005</v>
      </c>
      <c r="AZ75" s="7">
        <v>272369.44999999995</v>
      </c>
      <c r="BA75" s="7">
        <v>2962381.55</v>
      </c>
      <c r="BB75" s="7">
        <v>555526.15</v>
      </c>
      <c r="BC75" s="7">
        <v>221243.05000000002</v>
      </c>
      <c r="BD75" s="7">
        <v>106871.7</v>
      </c>
      <c r="BE75" s="7">
        <v>162188.44999999995</v>
      </c>
      <c r="BF75" s="7">
        <v>469414.8</v>
      </c>
      <c r="BG75" s="7">
        <v>120045.29999999999</v>
      </c>
      <c r="BH75" s="7">
        <v>199081.8</v>
      </c>
      <c r="BI75" s="7">
        <v>286478.60000000003</v>
      </c>
      <c r="BJ75" s="7">
        <v>96678.25</v>
      </c>
      <c r="BK75" s="7">
        <v>60430.950000000004</v>
      </c>
      <c r="BL75" s="7">
        <v>1131740.45</v>
      </c>
      <c r="BM75" s="7">
        <v>259901.55000000002</v>
      </c>
      <c r="BN75" s="7">
        <v>417515.24999999994</v>
      </c>
      <c r="BO75" s="7">
        <v>1120245.4999999998</v>
      </c>
      <c r="BP75" s="7">
        <v>655134.55000000005</v>
      </c>
      <c r="BQ75" s="7">
        <v>250261.34999999995</v>
      </c>
      <c r="BR75" s="7">
        <v>1915352.15</v>
      </c>
      <c r="BS75" s="7">
        <v>200700.24999999997</v>
      </c>
      <c r="BT75" s="7">
        <v>301173.05000000005</v>
      </c>
      <c r="BU75" s="7">
        <v>76088.600000000006</v>
      </c>
      <c r="BV75" s="7">
        <v>81201.149999999994</v>
      </c>
      <c r="BW75" s="7">
        <v>1116095.8499999999</v>
      </c>
      <c r="BX75" s="7">
        <v>53016.45</v>
      </c>
      <c r="BY75" s="7">
        <v>158216.25</v>
      </c>
      <c r="BZ75" s="7">
        <v>275412.64999999997</v>
      </c>
      <c r="CB75" t="s">
        <v>107</v>
      </c>
    </row>
    <row r="76" spans="1:80" x14ac:dyDescent="0.2">
      <c r="B76" t="s">
        <v>86</v>
      </c>
      <c r="C76" s="3">
        <f>SUM(D76:BZ76)</f>
        <v>518564.5199999999</v>
      </c>
      <c r="D76" s="7">
        <v>111921.28</v>
      </c>
      <c r="E76" s="7">
        <v>-2468.35</v>
      </c>
      <c r="F76" s="7">
        <v>27.25</v>
      </c>
      <c r="G76" s="7">
        <v>19.95</v>
      </c>
      <c r="H76" s="7">
        <v>62.4</v>
      </c>
      <c r="I76" s="7">
        <v>9160.4</v>
      </c>
      <c r="J76" s="7">
        <v>6420.2</v>
      </c>
      <c r="K76" s="7">
        <v>110.15</v>
      </c>
      <c r="L76" s="7">
        <v>25.45</v>
      </c>
      <c r="M76" s="7">
        <v>13.600000000000001</v>
      </c>
      <c r="N76" s="7">
        <v>27.15</v>
      </c>
      <c r="O76" s="7">
        <v>11373.7</v>
      </c>
      <c r="P76" s="7">
        <v>112287.75</v>
      </c>
      <c r="Q76" s="7">
        <v>-35942.5</v>
      </c>
      <c r="R76" s="7">
        <v>889.1</v>
      </c>
      <c r="S76" s="7">
        <v>10350.65</v>
      </c>
      <c r="T76" s="7">
        <v>17315.099999999999</v>
      </c>
      <c r="U76" s="7">
        <v>4769.5</v>
      </c>
      <c r="V76" s="7">
        <v>2517.75</v>
      </c>
      <c r="W76" s="7">
        <v>4009.9</v>
      </c>
      <c r="X76" s="7">
        <v>10156.59</v>
      </c>
      <c r="Y76" s="7">
        <v>8721.6</v>
      </c>
      <c r="Z76" s="7">
        <v>387.70000000000005</v>
      </c>
      <c r="AA76" s="7">
        <v>12219.95</v>
      </c>
      <c r="AB76" s="7">
        <v>13.5</v>
      </c>
      <c r="AC76" s="7">
        <v>5176.8500000000004</v>
      </c>
      <c r="AD76" s="7">
        <v>1761.8999999999999</v>
      </c>
      <c r="AE76" s="7">
        <v>10311.1</v>
      </c>
      <c r="AF76" s="7">
        <v>5267.4</v>
      </c>
      <c r="AG76" s="7">
        <v>146</v>
      </c>
      <c r="AH76" s="7">
        <v>13769.3</v>
      </c>
      <c r="AI76" s="7">
        <v>3197.9</v>
      </c>
      <c r="AJ76" s="7">
        <v>2610</v>
      </c>
      <c r="AK76" s="7">
        <v>7683.75</v>
      </c>
      <c r="AL76" s="7">
        <v>3853.75</v>
      </c>
      <c r="AM76" s="7">
        <v>309.39999999999998</v>
      </c>
      <c r="AN76" s="7">
        <v>2385.1999999999998</v>
      </c>
      <c r="AO76" s="7">
        <v>9241.4</v>
      </c>
      <c r="AP76" s="7">
        <v>2619.25</v>
      </c>
      <c r="AQ76" s="7">
        <v>3407.3</v>
      </c>
      <c r="AR76" s="7">
        <v>137.94999999999999</v>
      </c>
      <c r="AS76" s="7">
        <v>24.85</v>
      </c>
      <c r="AT76" s="7">
        <v>19.05</v>
      </c>
      <c r="AU76" s="7">
        <v>34219.899999999994</v>
      </c>
      <c r="AV76" s="7">
        <v>6907.55</v>
      </c>
      <c r="AW76" s="7">
        <v>4245.05</v>
      </c>
      <c r="AX76" s="7">
        <v>4281.8500000000004</v>
      </c>
      <c r="AY76" s="7">
        <v>9712.6500000000015</v>
      </c>
      <c r="AZ76" s="7">
        <v>2262.9499999999998</v>
      </c>
      <c r="BA76" s="7">
        <v>4689.3</v>
      </c>
      <c r="BB76" s="7">
        <v>367</v>
      </c>
      <c r="BC76" s="7">
        <v>6436.1</v>
      </c>
      <c r="BD76" s="7">
        <v>35.6</v>
      </c>
      <c r="BE76" s="7">
        <v>72.55</v>
      </c>
      <c r="BF76" s="7">
        <v>11968.15</v>
      </c>
      <c r="BG76" s="7">
        <v>25.95</v>
      </c>
      <c r="BH76" s="7">
        <v>4347.0999999999995</v>
      </c>
      <c r="BI76" s="7">
        <v>2460.1999999999998</v>
      </c>
      <c r="BJ76" s="7">
        <v>302.14999999999998</v>
      </c>
      <c r="BK76" s="7">
        <v>621.70000000000005</v>
      </c>
      <c r="BL76" s="7">
        <v>1670.65</v>
      </c>
      <c r="BM76" s="7">
        <v>3849.35</v>
      </c>
      <c r="BN76" s="7">
        <v>6520</v>
      </c>
      <c r="BO76" s="7">
        <v>15521.6</v>
      </c>
      <c r="BP76" s="7">
        <v>7945.45</v>
      </c>
      <c r="BQ76" s="7">
        <v>56.35</v>
      </c>
      <c r="BR76" s="7">
        <v>22010</v>
      </c>
      <c r="BS76" s="7">
        <v>1672.6</v>
      </c>
      <c r="BT76" s="7">
        <v>1712.05</v>
      </c>
      <c r="BU76" s="7">
        <v>25.55</v>
      </c>
      <c r="BV76" s="7">
        <v>223.75</v>
      </c>
      <c r="BW76" s="7">
        <v>7352.95</v>
      </c>
      <c r="BX76" s="7">
        <v>19.2</v>
      </c>
      <c r="BY76" s="7">
        <v>226.05</v>
      </c>
      <c r="BZ76" s="7">
        <v>491.1</v>
      </c>
      <c r="CB76" t="s">
        <v>107</v>
      </c>
    </row>
    <row r="77" spans="1:80" s="19" customFormat="1" x14ac:dyDescent="0.2">
      <c r="B77" s="19" t="s">
        <v>90</v>
      </c>
      <c r="C77" s="13">
        <f>SUM(D77:BZ77)</f>
        <v>65197048.829999983</v>
      </c>
      <c r="D77" s="13">
        <f>D75-D76</f>
        <v>13825625.970000001</v>
      </c>
      <c r="E77" s="13">
        <f t="shared" ref="E77:BN77" si="38">E75-E76</f>
        <v>645770.29999999993</v>
      </c>
      <c r="F77" s="13">
        <f t="shared" si="38"/>
        <v>93615.9</v>
      </c>
      <c r="G77" s="13">
        <f t="shared" si="38"/>
        <v>59050.600000000006</v>
      </c>
      <c r="H77" s="13">
        <f t="shared" si="38"/>
        <v>63517.900000000009</v>
      </c>
      <c r="I77" s="13">
        <f t="shared" si="38"/>
        <v>753594.7</v>
      </c>
      <c r="J77" s="13">
        <f t="shared" si="38"/>
        <v>685673.60000000009</v>
      </c>
      <c r="K77" s="13">
        <f t="shared" si="38"/>
        <v>42638.45</v>
      </c>
      <c r="L77" s="13">
        <f t="shared" si="38"/>
        <v>62718.7</v>
      </c>
      <c r="M77" s="13">
        <f t="shared" si="38"/>
        <v>23888.55</v>
      </c>
      <c r="N77" s="13">
        <f t="shared" si="38"/>
        <v>39640.5</v>
      </c>
      <c r="O77" s="13">
        <f t="shared" si="38"/>
        <v>520745.10000000003</v>
      </c>
      <c r="P77" s="13">
        <f t="shared" si="38"/>
        <v>2065757.9500000002</v>
      </c>
      <c r="Q77" s="13">
        <f t="shared" si="38"/>
        <v>1556497</v>
      </c>
      <c r="R77" s="13">
        <f t="shared" si="38"/>
        <v>455328.5</v>
      </c>
      <c r="S77" s="13">
        <f t="shared" si="38"/>
        <v>2233406.5500000003</v>
      </c>
      <c r="T77" s="13">
        <f t="shared" si="38"/>
        <v>2529506.5500000003</v>
      </c>
      <c r="U77" s="13">
        <f t="shared" si="38"/>
        <v>587184.85</v>
      </c>
      <c r="V77" s="13">
        <f t="shared" si="38"/>
        <v>2516563.5000000005</v>
      </c>
      <c r="W77" s="13">
        <f t="shared" si="38"/>
        <v>2025679.5499999998</v>
      </c>
      <c r="X77" s="13">
        <f t="shared" si="38"/>
        <v>2401749.96</v>
      </c>
      <c r="Y77" s="13">
        <f t="shared" si="38"/>
        <v>711299.6</v>
      </c>
      <c r="Z77" s="13">
        <f t="shared" si="38"/>
        <v>223452.15</v>
      </c>
      <c r="AA77" s="13">
        <f t="shared" si="38"/>
        <v>2379300.2000000002</v>
      </c>
      <c r="AB77" s="13">
        <f t="shared" si="38"/>
        <v>99737.7</v>
      </c>
      <c r="AC77" s="13">
        <f t="shared" si="38"/>
        <v>1617718.7999999998</v>
      </c>
      <c r="AD77" s="13">
        <f t="shared" si="38"/>
        <v>479745.04999999993</v>
      </c>
      <c r="AE77" s="13">
        <f t="shared" si="38"/>
        <v>2045902.4499999997</v>
      </c>
      <c r="AF77" s="13">
        <f t="shared" si="38"/>
        <v>329387.74999999994</v>
      </c>
      <c r="AG77" s="13">
        <f t="shared" si="38"/>
        <v>1262946.9000000001</v>
      </c>
      <c r="AH77" s="13">
        <f t="shared" si="38"/>
        <v>2752623.3000000003</v>
      </c>
      <c r="AI77" s="13">
        <f t="shared" si="38"/>
        <v>820936.9</v>
      </c>
      <c r="AJ77" s="13">
        <f t="shared" si="38"/>
        <v>685271.99999999988</v>
      </c>
      <c r="AK77" s="13">
        <f t="shared" si="38"/>
        <v>663039.05000000005</v>
      </c>
      <c r="AL77" s="13">
        <f t="shared" si="38"/>
        <v>310036.90000000002</v>
      </c>
      <c r="AM77" s="13">
        <f t="shared" si="38"/>
        <v>866746.89999999991</v>
      </c>
      <c r="AN77" s="13">
        <f t="shared" si="38"/>
        <v>247276.59999999998</v>
      </c>
      <c r="AO77" s="13">
        <f t="shared" si="38"/>
        <v>379483.49999999988</v>
      </c>
      <c r="AP77" s="13">
        <f t="shared" si="38"/>
        <v>372301.25</v>
      </c>
      <c r="AQ77" s="13">
        <f t="shared" si="38"/>
        <v>486243.2</v>
      </c>
      <c r="AR77" s="13">
        <f t="shared" si="38"/>
        <v>244932.2</v>
      </c>
      <c r="AS77" s="13">
        <f t="shared" si="38"/>
        <v>69489.549999999988</v>
      </c>
      <c r="AT77" s="13">
        <f t="shared" si="38"/>
        <v>110607.55</v>
      </c>
      <c r="AU77" s="13">
        <f t="shared" si="38"/>
        <v>174357</v>
      </c>
      <c r="AV77" s="13">
        <f t="shared" si="38"/>
        <v>241988.90000000002</v>
      </c>
      <c r="AW77" s="13">
        <f t="shared" si="38"/>
        <v>222116</v>
      </c>
      <c r="AX77" s="13">
        <f t="shared" si="38"/>
        <v>248570.4</v>
      </c>
      <c r="AY77" s="13">
        <f t="shared" si="38"/>
        <v>541502.65</v>
      </c>
      <c r="AZ77" s="13">
        <f t="shared" si="38"/>
        <v>270106.49999999994</v>
      </c>
      <c r="BA77" s="13">
        <f t="shared" si="38"/>
        <v>2957692.25</v>
      </c>
      <c r="BB77" s="13">
        <f t="shared" si="38"/>
        <v>555159.15</v>
      </c>
      <c r="BC77" s="13">
        <f t="shared" si="38"/>
        <v>214806.95</v>
      </c>
      <c r="BD77" s="13">
        <f t="shared" si="38"/>
        <v>106836.09999999999</v>
      </c>
      <c r="BE77" s="13">
        <f t="shared" si="38"/>
        <v>162115.89999999997</v>
      </c>
      <c r="BF77" s="13">
        <f t="shared" si="38"/>
        <v>457446.64999999997</v>
      </c>
      <c r="BG77" s="13">
        <f t="shared" si="38"/>
        <v>120019.34999999999</v>
      </c>
      <c r="BH77" s="13">
        <f t="shared" si="38"/>
        <v>194734.69999999998</v>
      </c>
      <c r="BI77" s="13">
        <f t="shared" si="38"/>
        <v>284018.40000000002</v>
      </c>
      <c r="BJ77" s="13">
        <f t="shared" si="38"/>
        <v>96376.1</v>
      </c>
      <c r="BK77" s="13">
        <f t="shared" si="38"/>
        <v>59809.250000000007</v>
      </c>
      <c r="BL77" s="13">
        <f t="shared" si="38"/>
        <v>1130069.8</v>
      </c>
      <c r="BM77" s="13">
        <f t="shared" si="38"/>
        <v>256052.2</v>
      </c>
      <c r="BN77" s="13">
        <f t="shared" si="38"/>
        <v>410995.24999999994</v>
      </c>
      <c r="BO77" s="13">
        <f t="shared" ref="BO77:BZ77" si="39">BO75-BO76</f>
        <v>1104723.8999999997</v>
      </c>
      <c r="BP77" s="13">
        <f t="shared" si="39"/>
        <v>647189.10000000009</v>
      </c>
      <c r="BQ77" s="13">
        <f t="shared" si="39"/>
        <v>250204.99999999994</v>
      </c>
      <c r="BR77" s="13">
        <f t="shared" si="39"/>
        <v>1893342.15</v>
      </c>
      <c r="BS77" s="13">
        <f t="shared" si="39"/>
        <v>199027.64999999997</v>
      </c>
      <c r="BT77" s="13">
        <f t="shared" si="39"/>
        <v>299461.00000000006</v>
      </c>
      <c r="BU77" s="13">
        <f t="shared" si="39"/>
        <v>76063.05</v>
      </c>
      <c r="BV77" s="13">
        <f t="shared" si="39"/>
        <v>80977.399999999994</v>
      </c>
      <c r="BW77" s="13">
        <f t="shared" si="39"/>
        <v>1108742.8999999999</v>
      </c>
      <c r="BX77" s="13">
        <f t="shared" si="39"/>
        <v>52997.25</v>
      </c>
      <c r="BY77" s="13">
        <f t="shared" si="39"/>
        <v>157990.20000000001</v>
      </c>
      <c r="BZ77" s="13">
        <f t="shared" si="39"/>
        <v>274921.55</v>
      </c>
    </row>
    <row r="78" spans="1:80" x14ac:dyDescent="0.2">
      <c r="C78" s="3"/>
      <c r="D78" s="3"/>
      <c r="E78" s="3"/>
      <c r="F78" s="3"/>
      <c r="G78" s="3"/>
      <c r="H78" s="1"/>
      <c r="I78" s="1"/>
      <c r="J78" s="1"/>
      <c r="K78" s="1"/>
      <c r="L78" s="1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80" s="19" customFormat="1" x14ac:dyDescent="0.2">
      <c r="A79" s="23" t="s">
        <v>137</v>
      </c>
      <c r="B79" s="24" t="s">
        <v>1</v>
      </c>
      <c r="C79" s="14"/>
      <c r="D79" s="14"/>
      <c r="E79" s="14"/>
      <c r="F79" s="14"/>
      <c r="G79" s="14"/>
      <c r="H79" s="15"/>
      <c r="I79" s="15"/>
      <c r="J79" s="15"/>
      <c r="K79" s="15"/>
      <c r="L79" s="15"/>
      <c r="M79" s="15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25"/>
      <c r="CB79" s="23"/>
    </row>
    <row r="80" spans="1:80" x14ac:dyDescent="0.2">
      <c r="B80" t="s">
        <v>81</v>
      </c>
      <c r="C80" s="3">
        <f>SUM(D80:BZ80)</f>
        <v>159039026.70000002</v>
      </c>
      <c r="D80" s="7">
        <v>36909524.450000003</v>
      </c>
      <c r="E80" s="7">
        <v>1623618.3</v>
      </c>
      <c r="F80" s="7">
        <v>143054.85</v>
      </c>
      <c r="G80" s="7">
        <v>80827.100000000006</v>
      </c>
      <c r="H80" s="7">
        <v>568990.4</v>
      </c>
      <c r="I80" s="7">
        <v>4385280.8</v>
      </c>
      <c r="J80" s="7">
        <v>2125494.15</v>
      </c>
      <c r="K80" s="7">
        <v>45096.800000000003</v>
      </c>
      <c r="L80" s="7">
        <v>436967.5</v>
      </c>
      <c r="M80" s="7">
        <v>57831.55</v>
      </c>
      <c r="N80" s="7">
        <v>79159.75</v>
      </c>
      <c r="O80" s="7">
        <v>494307.55</v>
      </c>
      <c r="P80" s="7">
        <v>3797023.5</v>
      </c>
      <c r="Q80" s="7">
        <v>3613602.75</v>
      </c>
      <c r="R80" s="7">
        <v>710941.1</v>
      </c>
      <c r="S80" s="7">
        <v>2123150.35</v>
      </c>
      <c r="T80" s="7">
        <v>2858176.9</v>
      </c>
      <c r="U80" s="7">
        <v>822310.05</v>
      </c>
      <c r="V80" s="7">
        <v>5519849.75</v>
      </c>
      <c r="W80" s="7">
        <v>1728085.65</v>
      </c>
      <c r="X80" s="7">
        <v>4791450.45</v>
      </c>
      <c r="Y80" s="7">
        <v>1713147.05</v>
      </c>
      <c r="Z80" s="7">
        <v>207259.25</v>
      </c>
      <c r="AA80" s="7">
        <v>3500872.85</v>
      </c>
      <c r="AB80" s="7">
        <v>77660.600000000006</v>
      </c>
      <c r="AC80" s="7">
        <v>2069400.8</v>
      </c>
      <c r="AD80" s="7">
        <v>499633.5</v>
      </c>
      <c r="AE80" s="7">
        <v>4987038.6500000004</v>
      </c>
      <c r="AF80" s="7">
        <v>364275.1</v>
      </c>
      <c r="AG80" s="7">
        <v>945118.4</v>
      </c>
      <c r="AH80" s="7">
        <v>856685</v>
      </c>
      <c r="AI80" s="7">
        <v>749420.4</v>
      </c>
      <c r="AJ80" s="7">
        <v>705956.55</v>
      </c>
      <c r="AK80" s="7">
        <v>1224579.25</v>
      </c>
      <c r="AL80" s="7">
        <v>677385.6</v>
      </c>
      <c r="AM80" s="7">
        <v>1047668.7</v>
      </c>
      <c r="AN80" s="7">
        <v>84733.6</v>
      </c>
      <c r="AO80" s="7">
        <v>1751424.3</v>
      </c>
      <c r="AP80" s="7">
        <v>741302</v>
      </c>
      <c r="AQ80" s="7">
        <v>589655</v>
      </c>
      <c r="AR80" s="7">
        <v>293715</v>
      </c>
      <c r="AS80" s="7">
        <v>71124.7</v>
      </c>
      <c r="AT80" s="7">
        <v>5736.9</v>
      </c>
      <c r="AU80" s="7">
        <v>386957.25</v>
      </c>
      <c r="AV80" s="7">
        <v>374700.75</v>
      </c>
      <c r="AW80" s="7">
        <v>652124.55000000005</v>
      </c>
      <c r="AX80" s="7">
        <v>510666.75</v>
      </c>
      <c r="AY80" s="7">
        <v>1869039.55</v>
      </c>
      <c r="AZ80" s="7">
        <v>792935.9</v>
      </c>
      <c r="BA80" s="7">
        <v>22760460.75</v>
      </c>
      <c r="BB80" s="7">
        <v>1537121.35</v>
      </c>
      <c r="BC80" s="7">
        <v>330774.25</v>
      </c>
      <c r="BD80" s="7">
        <v>376035.2</v>
      </c>
      <c r="BE80" s="7">
        <v>1350466.75</v>
      </c>
      <c r="BF80" s="7">
        <v>1336556</v>
      </c>
      <c r="BG80" s="7">
        <v>226384.45</v>
      </c>
      <c r="BH80" s="7">
        <v>339332.69999999995</v>
      </c>
      <c r="BI80" s="7">
        <v>1015496.95</v>
      </c>
      <c r="BJ80" s="7">
        <v>227608.6</v>
      </c>
      <c r="BK80" s="7">
        <v>196589.9</v>
      </c>
      <c r="BL80" s="7">
        <v>2008684.15</v>
      </c>
      <c r="BM80" s="7">
        <v>1034179.15</v>
      </c>
      <c r="BN80" s="7">
        <v>715948.95</v>
      </c>
      <c r="BO80" s="7">
        <v>2171899.5</v>
      </c>
      <c r="BP80" s="7">
        <v>1905959.7</v>
      </c>
      <c r="BQ80" s="7">
        <v>1534785.8</v>
      </c>
      <c r="BR80" s="7">
        <v>9497287.5</v>
      </c>
      <c r="BS80" s="7">
        <v>1145775.3500000001</v>
      </c>
      <c r="BT80" s="7">
        <v>1585728.4</v>
      </c>
      <c r="BU80" s="7">
        <v>116003.75</v>
      </c>
      <c r="BV80" s="7">
        <v>175974.6</v>
      </c>
      <c r="BW80" s="7">
        <v>4921511.3</v>
      </c>
      <c r="BX80" s="7">
        <v>314143.3</v>
      </c>
      <c r="BY80" s="7">
        <v>718599.85</v>
      </c>
      <c r="BZ80" s="7">
        <v>830756.85</v>
      </c>
      <c r="CB80" t="s">
        <v>107</v>
      </c>
    </row>
    <row r="81" spans="1:80" x14ac:dyDescent="0.2">
      <c r="B81" t="s">
        <v>86</v>
      </c>
      <c r="C81" s="3">
        <f>SUM(D81:BZ81)</f>
        <v>2536648.6499999985</v>
      </c>
      <c r="D81" s="7">
        <v>1080694</v>
      </c>
      <c r="E81" s="7">
        <v>14751.499999999998</v>
      </c>
      <c r="F81" s="7">
        <v>7.95</v>
      </c>
      <c r="G81" s="7">
        <v>10087.150000000001</v>
      </c>
      <c r="H81" s="7">
        <v>5390.75</v>
      </c>
      <c r="I81" s="7">
        <v>116537.05</v>
      </c>
      <c r="J81" s="7">
        <v>23318.400000000001</v>
      </c>
      <c r="K81" s="7">
        <v>33.549999999999997</v>
      </c>
      <c r="L81" s="7">
        <v>2668.7000000000003</v>
      </c>
      <c r="M81" s="7">
        <v>169.4</v>
      </c>
      <c r="N81" s="7">
        <v>15.7</v>
      </c>
      <c r="O81" s="7">
        <v>24698.75</v>
      </c>
      <c r="P81" s="7">
        <v>97555.700000000012</v>
      </c>
      <c r="Q81" s="7">
        <v>147421.5</v>
      </c>
      <c r="R81" s="7">
        <v>5438.6</v>
      </c>
      <c r="S81" s="7">
        <v>158969.15</v>
      </c>
      <c r="T81" s="7">
        <v>56897.8</v>
      </c>
      <c r="U81" s="7">
        <v>1158.1999999999998</v>
      </c>
      <c r="V81" s="7">
        <v>1042</v>
      </c>
      <c r="W81" s="7">
        <v>6196.75</v>
      </c>
      <c r="X81" s="7">
        <v>8589.85</v>
      </c>
      <c r="Y81" s="7">
        <v>1135.8000000000002</v>
      </c>
      <c r="Z81" s="7">
        <v>603.54999999999995</v>
      </c>
      <c r="AA81" s="7">
        <v>12316.8</v>
      </c>
      <c r="AB81" s="7">
        <v>333.25</v>
      </c>
      <c r="AC81" s="7">
        <v>40290.6</v>
      </c>
      <c r="AD81" s="7">
        <v>3749.25</v>
      </c>
      <c r="AE81" s="7">
        <v>7948.55</v>
      </c>
      <c r="AF81" s="7">
        <v>737.2</v>
      </c>
      <c r="AG81" s="7">
        <v>9608.0999999999985</v>
      </c>
      <c r="AH81" s="7">
        <v>220999.89999999997</v>
      </c>
      <c r="AI81" s="7">
        <v>181862.35</v>
      </c>
      <c r="AJ81" s="7">
        <v>3172.5</v>
      </c>
      <c r="AK81" s="7">
        <v>2873.1</v>
      </c>
      <c r="AL81" s="7">
        <v>424.4</v>
      </c>
      <c r="AM81" s="7">
        <v>3483.05</v>
      </c>
      <c r="AN81" s="7">
        <v>23.75</v>
      </c>
      <c r="AO81" s="7">
        <v>17222.3</v>
      </c>
      <c r="AP81" s="7">
        <v>2136.85</v>
      </c>
      <c r="AQ81" s="7">
        <v>591.04999999999995</v>
      </c>
      <c r="AR81" s="7">
        <v>2284.1999999999998</v>
      </c>
      <c r="AS81" s="7">
        <v>649.15</v>
      </c>
      <c r="AT81" s="7">
        <v>-5025.5</v>
      </c>
      <c r="AU81" s="7">
        <v>10536.15</v>
      </c>
      <c r="AV81" s="7">
        <v>13243.45</v>
      </c>
      <c r="AW81" s="7">
        <v>1540</v>
      </c>
      <c r="AX81" s="7">
        <v>4291.1000000000004</v>
      </c>
      <c r="AY81" s="7">
        <v>20108</v>
      </c>
      <c r="AZ81" s="7">
        <v>188.95</v>
      </c>
      <c r="BA81" s="7">
        <v>17950.649999999998</v>
      </c>
      <c r="BB81" s="7">
        <v>844.05000000000007</v>
      </c>
      <c r="BC81" s="7">
        <v>4042.1</v>
      </c>
      <c r="BD81" s="7">
        <v>125.25</v>
      </c>
      <c r="BE81" s="7">
        <v>1033.0999999999999</v>
      </c>
      <c r="BF81" s="7">
        <v>3806.3500000000004</v>
      </c>
      <c r="BG81" s="7">
        <v>41.2</v>
      </c>
      <c r="BH81" s="7">
        <v>7685.55</v>
      </c>
      <c r="BI81" s="7">
        <v>258.95</v>
      </c>
      <c r="BJ81" s="7">
        <v>366.75</v>
      </c>
      <c r="BK81" s="7">
        <v>22.55</v>
      </c>
      <c r="BL81" s="7">
        <v>46160.05</v>
      </c>
      <c r="BM81" s="7">
        <v>3301.55</v>
      </c>
      <c r="BN81" s="7">
        <v>19791.650000000001</v>
      </c>
      <c r="BO81" s="7">
        <v>20143.55</v>
      </c>
      <c r="BP81" s="7">
        <v>2556.3000000000002</v>
      </c>
      <c r="BQ81" s="7">
        <v>71.5</v>
      </c>
      <c r="BR81" s="7">
        <v>50818.55</v>
      </c>
      <c r="BS81" s="7">
        <v>1177.3</v>
      </c>
      <c r="BT81" s="7">
        <v>1377.95</v>
      </c>
      <c r="BU81" s="7">
        <v>31.65</v>
      </c>
      <c r="BV81" s="7">
        <v>3783.15</v>
      </c>
      <c r="BW81" s="7">
        <v>20798.25</v>
      </c>
      <c r="BX81" s="7">
        <v>494.8</v>
      </c>
      <c r="BY81" s="7">
        <v>1359.5</v>
      </c>
      <c r="BZ81" s="7">
        <v>9636.0999999999985</v>
      </c>
      <c r="CB81" t="s">
        <v>107</v>
      </c>
    </row>
    <row r="82" spans="1:80" x14ac:dyDescent="0.2">
      <c r="B82" t="s">
        <v>87</v>
      </c>
      <c r="C82" s="3">
        <f>SUM(D82:BZ82)</f>
        <v>491849.59999999992</v>
      </c>
      <c r="D82" s="10">
        <v>70890.850000000006</v>
      </c>
      <c r="E82" s="10">
        <v>383.25</v>
      </c>
      <c r="F82" s="10">
        <v>0</v>
      </c>
      <c r="G82" s="10">
        <v>0</v>
      </c>
      <c r="H82" s="7">
        <v>0</v>
      </c>
      <c r="I82" s="7">
        <v>0</v>
      </c>
      <c r="J82" s="7">
        <v>11371.05</v>
      </c>
      <c r="K82" s="7">
        <v>0</v>
      </c>
      <c r="L82" s="7">
        <v>411.65</v>
      </c>
      <c r="M82" s="7">
        <v>0</v>
      </c>
      <c r="N82" s="10">
        <v>302.7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215203.8</v>
      </c>
      <c r="U82" s="10">
        <v>1143.25</v>
      </c>
      <c r="V82" s="10">
        <v>134188.9</v>
      </c>
      <c r="W82" s="10">
        <v>201.5</v>
      </c>
      <c r="X82" s="10">
        <v>0</v>
      </c>
      <c r="Y82" s="10">
        <v>0</v>
      </c>
      <c r="Z82" s="10">
        <v>0</v>
      </c>
      <c r="AA82" s="10">
        <v>607.75</v>
      </c>
      <c r="AB82" s="10">
        <v>0</v>
      </c>
      <c r="AC82" s="10">
        <v>587.35</v>
      </c>
      <c r="AD82" s="10">
        <v>0</v>
      </c>
      <c r="AE82" s="10">
        <v>34293.199999999997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4741.3500000000004</v>
      </c>
      <c r="AM82" s="10">
        <v>0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  <c r="AU82" s="10">
        <v>0</v>
      </c>
      <c r="AV82" s="10">
        <v>0</v>
      </c>
      <c r="AW82" s="10">
        <v>0</v>
      </c>
      <c r="AX82" s="10">
        <v>0</v>
      </c>
      <c r="AY82" s="10">
        <v>0</v>
      </c>
      <c r="AZ82" s="10">
        <v>0</v>
      </c>
      <c r="BA82" s="10">
        <v>1940.5</v>
      </c>
      <c r="BB82" s="10">
        <v>0</v>
      </c>
      <c r="BC82" s="10">
        <v>0</v>
      </c>
      <c r="BD82" s="10">
        <v>0</v>
      </c>
      <c r="BE82" s="10">
        <v>0</v>
      </c>
      <c r="BF82" s="10">
        <v>4049.75</v>
      </c>
      <c r="BG82" s="10">
        <v>0</v>
      </c>
      <c r="BH82" s="7">
        <v>0</v>
      </c>
      <c r="BI82" s="10">
        <v>0</v>
      </c>
      <c r="BJ82" s="10">
        <v>0</v>
      </c>
      <c r="BK82" s="10">
        <v>0</v>
      </c>
      <c r="BL82" s="10">
        <v>0</v>
      </c>
      <c r="BM82" s="10">
        <v>0</v>
      </c>
      <c r="BN82" s="10">
        <v>0</v>
      </c>
      <c r="BO82" s="10">
        <v>0</v>
      </c>
      <c r="BP82" s="10">
        <v>10621.25</v>
      </c>
      <c r="BQ82" s="10">
        <v>0</v>
      </c>
      <c r="BR82" s="10">
        <v>0</v>
      </c>
      <c r="BS82" s="10">
        <v>0</v>
      </c>
      <c r="BT82" s="10">
        <v>0</v>
      </c>
      <c r="BU82" s="10">
        <v>0</v>
      </c>
      <c r="BV82" s="10">
        <v>0</v>
      </c>
      <c r="BW82" s="10">
        <v>834.3</v>
      </c>
      <c r="BX82" s="10">
        <v>0</v>
      </c>
      <c r="BY82" s="10">
        <v>0</v>
      </c>
      <c r="BZ82" s="10">
        <v>77.2</v>
      </c>
    </row>
    <row r="83" spans="1:80" s="19" customFormat="1" x14ac:dyDescent="0.2">
      <c r="B83" s="19" t="s">
        <v>90</v>
      </c>
      <c r="C83" s="13">
        <f>SUM(D83:BZ83)</f>
        <v>156010528.44999999</v>
      </c>
      <c r="D83" s="13">
        <f>D80-D81-D82</f>
        <v>35757939.600000001</v>
      </c>
      <c r="E83" s="13">
        <f t="shared" ref="E83:BN83" si="40">E80-E81-E82</f>
        <v>1608483.55</v>
      </c>
      <c r="F83" s="13">
        <f t="shared" si="40"/>
        <v>143046.9</v>
      </c>
      <c r="G83" s="13">
        <f t="shared" si="40"/>
        <v>70739.950000000012</v>
      </c>
      <c r="H83" s="13">
        <f t="shared" si="40"/>
        <v>563599.65</v>
      </c>
      <c r="I83" s="13">
        <f t="shared" si="40"/>
        <v>4268743.75</v>
      </c>
      <c r="J83" s="13">
        <f t="shared" si="40"/>
        <v>2090804.7</v>
      </c>
      <c r="K83" s="13">
        <f t="shared" si="40"/>
        <v>45063.25</v>
      </c>
      <c r="L83" s="13">
        <f t="shared" si="40"/>
        <v>433887.14999999997</v>
      </c>
      <c r="M83" s="13">
        <f t="shared" si="40"/>
        <v>57662.15</v>
      </c>
      <c r="N83" s="13">
        <f t="shared" si="40"/>
        <v>78841.350000000006</v>
      </c>
      <c r="O83" s="13">
        <f t="shared" si="40"/>
        <v>469608.8</v>
      </c>
      <c r="P83" s="13">
        <f t="shared" si="40"/>
        <v>3699467.8</v>
      </c>
      <c r="Q83" s="13">
        <f t="shared" si="40"/>
        <v>3466181.25</v>
      </c>
      <c r="R83" s="13">
        <f t="shared" si="40"/>
        <v>705502.5</v>
      </c>
      <c r="S83" s="13">
        <f t="shared" si="40"/>
        <v>1964181.2000000002</v>
      </c>
      <c r="T83" s="13">
        <f t="shared" si="40"/>
        <v>2586075.3000000003</v>
      </c>
      <c r="U83" s="13">
        <f t="shared" si="40"/>
        <v>820008.60000000009</v>
      </c>
      <c r="V83" s="13">
        <f t="shared" si="40"/>
        <v>5384618.8499999996</v>
      </c>
      <c r="W83" s="13">
        <f t="shared" si="40"/>
        <v>1721687.4</v>
      </c>
      <c r="X83" s="13">
        <f t="shared" si="40"/>
        <v>4782860.6000000006</v>
      </c>
      <c r="Y83" s="13">
        <f t="shared" si="40"/>
        <v>1712011.25</v>
      </c>
      <c r="Z83" s="13">
        <f t="shared" si="40"/>
        <v>206655.7</v>
      </c>
      <c r="AA83" s="13">
        <f t="shared" si="40"/>
        <v>3487948.3000000003</v>
      </c>
      <c r="AB83" s="13">
        <f t="shared" si="40"/>
        <v>77327.350000000006</v>
      </c>
      <c r="AC83" s="13">
        <f t="shared" si="40"/>
        <v>2028522.8499999999</v>
      </c>
      <c r="AD83" s="13">
        <f t="shared" si="40"/>
        <v>495884.25</v>
      </c>
      <c r="AE83" s="13">
        <f t="shared" si="40"/>
        <v>4944796.9000000004</v>
      </c>
      <c r="AF83" s="13">
        <f t="shared" si="40"/>
        <v>363537.89999999997</v>
      </c>
      <c r="AG83" s="13">
        <f t="shared" si="40"/>
        <v>935510.3</v>
      </c>
      <c r="AH83" s="13">
        <f t="shared" si="40"/>
        <v>635685.10000000009</v>
      </c>
      <c r="AI83" s="13">
        <f t="shared" si="40"/>
        <v>567558.05000000005</v>
      </c>
      <c r="AJ83" s="13">
        <f t="shared" si="40"/>
        <v>702784.05</v>
      </c>
      <c r="AK83" s="13">
        <f t="shared" si="40"/>
        <v>1221706.1499999999</v>
      </c>
      <c r="AL83" s="13">
        <f t="shared" si="40"/>
        <v>672219.85</v>
      </c>
      <c r="AM83" s="13">
        <f t="shared" si="40"/>
        <v>1044185.6499999999</v>
      </c>
      <c r="AN83" s="13">
        <f t="shared" si="40"/>
        <v>84709.85</v>
      </c>
      <c r="AO83" s="13">
        <f t="shared" si="40"/>
        <v>1734202</v>
      </c>
      <c r="AP83" s="13">
        <f t="shared" si="40"/>
        <v>739165.15</v>
      </c>
      <c r="AQ83" s="13">
        <f t="shared" si="40"/>
        <v>589063.94999999995</v>
      </c>
      <c r="AR83" s="13">
        <f t="shared" si="40"/>
        <v>291430.8</v>
      </c>
      <c r="AS83" s="13">
        <f t="shared" si="40"/>
        <v>70475.55</v>
      </c>
      <c r="AT83" s="13">
        <f t="shared" si="40"/>
        <v>10762.4</v>
      </c>
      <c r="AU83" s="13">
        <f t="shared" si="40"/>
        <v>376421.1</v>
      </c>
      <c r="AV83" s="13">
        <f t="shared" si="40"/>
        <v>361457.3</v>
      </c>
      <c r="AW83" s="13">
        <f t="shared" si="40"/>
        <v>650584.55000000005</v>
      </c>
      <c r="AX83" s="13">
        <f t="shared" si="40"/>
        <v>506375.65</v>
      </c>
      <c r="AY83" s="13">
        <f t="shared" si="40"/>
        <v>1848931.55</v>
      </c>
      <c r="AZ83" s="13">
        <f t="shared" si="40"/>
        <v>792746.95000000007</v>
      </c>
      <c r="BA83" s="13">
        <f t="shared" si="40"/>
        <v>22740569.600000001</v>
      </c>
      <c r="BB83" s="13">
        <f t="shared" si="40"/>
        <v>1536277.3</v>
      </c>
      <c r="BC83" s="13">
        <f t="shared" si="40"/>
        <v>326732.15000000002</v>
      </c>
      <c r="BD83" s="13">
        <f t="shared" si="40"/>
        <v>375909.95</v>
      </c>
      <c r="BE83" s="13">
        <f t="shared" si="40"/>
        <v>1349433.65</v>
      </c>
      <c r="BF83" s="13">
        <f t="shared" si="40"/>
        <v>1328699.8999999999</v>
      </c>
      <c r="BG83" s="13">
        <f t="shared" si="40"/>
        <v>226343.25</v>
      </c>
      <c r="BH83" s="13">
        <f t="shared" si="40"/>
        <v>331647.14999999997</v>
      </c>
      <c r="BI83" s="13">
        <f t="shared" si="40"/>
        <v>1015238</v>
      </c>
      <c r="BJ83" s="13">
        <f t="shared" si="40"/>
        <v>227241.85</v>
      </c>
      <c r="BK83" s="13">
        <f t="shared" si="40"/>
        <v>196567.35</v>
      </c>
      <c r="BL83" s="13">
        <f t="shared" si="40"/>
        <v>1962524.0999999999</v>
      </c>
      <c r="BM83" s="13">
        <f t="shared" si="40"/>
        <v>1030877.6</v>
      </c>
      <c r="BN83" s="13">
        <f t="shared" si="40"/>
        <v>696157.29999999993</v>
      </c>
      <c r="BO83" s="13">
        <f t="shared" ref="BO83:BZ83" si="41">BO80-BO81-BO82</f>
        <v>2151755.9500000002</v>
      </c>
      <c r="BP83" s="13">
        <f t="shared" si="41"/>
        <v>1892782.15</v>
      </c>
      <c r="BQ83" s="13">
        <f t="shared" si="41"/>
        <v>1534714.3</v>
      </c>
      <c r="BR83" s="13">
        <f t="shared" si="41"/>
        <v>9446468.9499999993</v>
      </c>
      <c r="BS83" s="13">
        <f t="shared" si="41"/>
        <v>1144598.05</v>
      </c>
      <c r="BT83" s="13">
        <f t="shared" si="41"/>
        <v>1584350.45</v>
      </c>
      <c r="BU83" s="13">
        <f t="shared" si="41"/>
        <v>115972.1</v>
      </c>
      <c r="BV83" s="13">
        <f t="shared" si="41"/>
        <v>172191.45</v>
      </c>
      <c r="BW83" s="13">
        <f t="shared" si="41"/>
        <v>4899878.75</v>
      </c>
      <c r="BX83" s="13">
        <f t="shared" si="41"/>
        <v>313648.5</v>
      </c>
      <c r="BY83" s="13">
        <f t="shared" si="41"/>
        <v>717240.35</v>
      </c>
      <c r="BZ83" s="13">
        <f t="shared" si="41"/>
        <v>821043.55</v>
      </c>
    </row>
    <row r="84" spans="1:80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1:80" s="19" customFormat="1" x14ac:dyDescent="0.2">
      <c r="A85" s="23" t="s">
        <v>143</v>
      </c>
      <c r="B85" s="24" t="s">
        <v>84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25"/>
      <c r="CB85" s="23"/>
    </row>
    <row r="86" spans="1:80" x14ac:dyDescent="0.2">
      <c r="B86" t="s">
        <v>91</v>
      </c>
      <c r="C86" s="29">
        <f>C90/C92</f>
        <v>0.69041462225426131</v>
      </c>
      <c r="D86" s="10">
        <v>0.8</v>
      </c>
      <c r="E86" s="10">
        <v>0.8</v>
      </c>
      <c r="F86" s="10">
        <v>0.8</v>
      </c>
      <c r="G86" s="10">
        <v>0.8</v>
      </c>
      <c r="H86" s="10">
        <v>0.2</v>
      </c>
      <c r="I86" s="10">
        <v>0.4</v>
      </c>
      <c r="J86" s="10">
        <v>0.6</v>
      </c>
      <c r="K86" s="10">
        <v>0.3</v>
      </c>
      <c r="L86" s="10">
        <v>0.2</v>
      </c>
      <c r="M86" s="10">
        <v>0.8</v>
      </c>
      <c r="N86" s="10">
        <v>0.8</v>
      </c>
      <c r="O86" s="10">
        <v>0.8</v>
      </c>
      <c r="P86" s="10">
        <v>0.8</v>
      </c>
      <c r="Q86" s="10">
        <v>0.4</v>
      </c>
      <c r="R86" s="10">
        <v>0.8</v>
      </c>
      <c r="S86" s="10">
        <v>0.8</v>
      </c>
      <c r="T86" s="10">
        <v>0.4</v>
      </c>
      <c r="U86" s="10">
        <v>0.8</v>
      </c>
      <c r="V86" s="10">
        <v>0.6</v>
      </c>
      <c r="W86" s="10">
        <v>0.6</v>
      </c>
      <c r="X86" s="10">
        <v>0.8</v>
      </c>
      <c r="Y86" s="10">
        <v>0.8</v>
      </c>
      <c r="Z86" s="10">
        <v>0.8</v>
      </c>
      <c r="AA86" s="10">
        <v>0.8</v>
      </c>
      <c r="AB86" s="10">
        <v>0.8</v>
      </c>
      <c r="AC86" s="10">
        <v>0.8</v>
      </c>
      <c r="AD86" s="10">
        <v>0.8</v>
      </c>
      <c r="AE86" s="10">
        <v>0.8</v>
      </c>
      <c r="AF86" s="10">
        <v>0.8</v>
      </c>
      <c r="AG86" s="10">
        <v>0.8</v>
      </c>
      <c r="AH86" s="10">
        <v>0.7</v>
      </c>
      <c r="AI86" s="10">
        <v>0.8</v>
      </c>
      <c r="AJ86" s="10">
        <v>0.7</v>
      </c>
      <c r="AK86" s="10">
        <v>0.8</v>
      </c>
      <c r="AL86" s="10">
        <v>0.8</v>
      </c>
      <c r="AM86" s="10">
        <v>0.8</v>
      </c>
      <c r="AN86" s="10">
        <v>0.8</v>
      </c>
      <c r="AO86" s="10">
        <v>0.8</v>
      </c>
      <c r="AP86" s="10">
        <v>0.8</v>
      </c>
      <c r="AQ86" s="10">
        <v>0.8</v>
      </c>
      <c r="AR86" s="10">
        <v>0.8</v>
      </c>
      <c r="AS86" s="10">
        <v>0.8</v>
      </c>
      <c r="AT86" s="10">
        <v>0.8</v>
      </c>
      <c r="AU86" s="10">
        <v>0.8</v>
      </c>
      <c r="AV86" s="10">
        <v>0.8</v>
      </c>
      <c r="AW86" s="10">
        <v>0.8</v>
      </c>
      <c r="AX86" s="10">
        <v>0.8</v>
      </c>
      <c r="AY86" s="10">
        <v>0.8</v>
      </c>
      <c r="AZ86" s="10">
        <v>0.8</v>
      </c>
      <c r="BA86" s="10">
        <v>0.3</v>
      </c>
      <c r="BB86" s="10">
        <v>0.8</v>
      </c>
      <c r="BC86" s="10">
        <v>0.8</v>
      </c>
      <c r="BD86" s="10">
        <v>0.8</v>
      </c>
      <c r="BE86" s="10">
        <v>0.8</v>
      </c>
      <c r="BF86" s="10">
        <v>0.8</v>
      </c>
      <c r="BG86" s="10">
        <v>0.8</v>
      </c>
      <c r="BH86" s="10">
        <v>0.8</v>
      </c>
      <c r="BI86" s="10">
        <v>0.8</v>
      </c>
      <c r="BJ86" s="10">
        <v>0.8</v>
      </c>
      <c r="BK86" s="10">
        <v>0.5</v>
      </c>
      <c r="BL86" s="10">
        <v>0.8</v>
      </c>
      <c r="BM86" s="10">
        <v>0.6</v>
      </c>
      <c r="BN86" s="10">
        <v>0.8</v>
      </c>
      <c r="BO86" s="10">
        <v>0.6</v>
      </c>
      <c r="BP86" s="10">
        <v>0.8</v>
      </c>
      <c r="BQ86" s="10">
        <v>0.8</v>
      </c>
      <c r="BR86" s="10">
        <v>0.6</v>
      </c>
      <c r="BS86" s="10">
        <v>0.4</v>
      </c>
      <c r="BT86" s="10">
        <v>0.3</v>
      </c>
      <c r="BU86" s="10">
        <v>0.8</v>
      </c>
      <c r="BV86" s="10">
        <v>0.4</v>
      </c>
      <c r="BW86" s="10">
        <v>0.6</v>
      </c>
      <c r="BX86" s="10">
        <v>0.6</v>
      </c>
      <c r="BY86" s="10">
        <v>0.8</v>
      </c>
      <c r="BZ86" s="10">
        <v>0.8</v>
      </c>
      <c r="CB86" t="s">
        <v>109</v>
      </c>
    </row>
    <row r="87" spans="1:80" x14ac:dyDescent="0.2">
      <c r="B87" s="30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1:80" x14ac:dyDescent="0.2">
      <c r="B88" t="s">
        <v>81</v>
      </c>
      <c r="C88" s="3">
        <f>SUM(D88:BZ88)</f>
        <v>96105130.140000015</v>
      </c>
      <c r="D88" s="10">
        <v>17316849</v>
      </c>
      <c r="E88" s="10">
        <v>1738908.1</v>
      </c>
      <c r="F88" s="10">
        <v>273322.09999999998</v>
      </c>
      <c r="G88" s="10">
        <v>225592.66</v>
      </c>
      <c r="H88" s="10">
        <v>258273.55</v>
      </c>
      <c r="I88" s="10">
        <v>1014701.23</v>
      </c>
      <c r="J88" s="10">
        <v>617942.19999999995</v>
      </c>
      <c r="K88" s="10">
        <v>69616.800000000003</v>
      </c>
      <c r="L88" s="10">
        <v>102155.2</v>
      </c>
      <c r="M88" s="10">
        <v>212802.4</v>
      </c>
      <c r="N88" s="10">
        <v>443988.9</v>
      </c>
      <c r="O88" s="10">
        <v>1545575</v>
      </c>
      <c r="P88" s="10">
        <v>1776077.1</v>
      </c>
      <c r="Q88" s="10">
        <v>831803.06</v>
      </c>
      <c r="R88" s="10">
        <v>648437.69999999995</v>
      </c>
      <c r="S88" s="10">
        <v>1225594.6399999999</v>
      </c>
      <c r="T88" s="10">
        <v>882529.91</v>
      </c>
      <c r="U88" s="10">
        <v>911421.48</v>
      </c>
      <c r="V88" s="10">
        <v>951079.35</v>
      </c>
      <c r="W88" s="10">
        <v>1143110.95</v>
      </c>
      <c r="X88" s="10">
        <v>2446751.56</v>
      </c>
      <c r="Y88" s="10">
        <v>854008.4</v>
      </c>
      <c r="Z88" s="10">
        <v>419125.2</v>
      </c>
      <c r="AA88" s="10">
        <v>2445367.7999999998</v>
      </c>
      <c r="AB88" s="10">
        <v>292142.65000000002</v>
      </c>
      <c r="AC88" s="10">
        <v>1925340.1</v>
      </c>
      <c r="AD88" s="10">
        <v>532741.85</v>
      </c>
      <c r="AE88" s="10">
        <v>1412752.3</v>
      </c>
      <c r="AF88" s="10">
        <v>666006.68000000005</v>
      </c>
      <c r="AG88" s="10">
        <v>1358144</v>
      </c>
      <c r="AH88" s="10">
        <v>2424838.65</v>
      </c>
      <c r="AI88" s="10">
        <v>1011647</v>
      </c>
      <c r="AJ88" s="10">
        <v>862606.7</v>
      </c>
      <c r="AK88" s="10">
        <v>1226566.8</v>
      </c>
      <c r="AL88" s="10">
        <v>1055886.6599999999</v>
      </c>
      <c r="AM88" s="10">
        <v>1685165.15</v>
      </c>
      <c r="AN88" s="10">
        <v>422112.35</v>
      </c>
      <c r="AO88" s="10">
        <v>1889515.85</v>
      </c>
      <c r="AP88" s="10">
        <v>1180333.8</v>
      </c>
      <c r="AQ88" s="10">
        <v>1185073.05</v>
      </c>
      <c r="AR88" s="10">
        <v>941167.75</v>
      </c>
      <c r="AS88" s="10">
        <v>536770.19999999995</v>
      </c>
      <c r="AT88" s="10">
        <v>416729</v>
      </c>
      <c r="AU88" s="10">
        <v>717604.66</v>
      </c>
      <c r="AV88" s="10">
        <v>565995.85</v>
      </c>
      <c r="AW88" s="10">
        <v>866736.3</v>
      </c>
      <c r="AX88" s="10">
        <v>1262203.3500000001</v>
      </c>
      <c r="AY88" s="10">
        <v>1355669.65</v>
      </c>
      <c r="AZ88" s="10">
        <v>904753.25</v>
      </c>
      <c r="BA88" s="10">
        <v>2982275.4</v>
      </c>
      <c r="BB88" s="10">
        <v>2114099.12</v>
      </c>
      <c r="BC88" s="10">
        <v>835389</v>
      </c>
      <c r="BD88" s="10">
        <v>630817.6</v>
      </c>
      <c r="BE88" s="10">
        <v>910549.15</v>
      </c>
      <c r="BF88" s="10">
        <v>1516705.05</v>
      </c>
      <c r="BG88" s="10">
        <v>314031.5</v>
      </c>
      <c r="BH88" s="10">
        <v>963794.86</v>
      </c>
      <c r="BI88" s="10">
        <v>872695.4</v>
      </c>
      <c r="BJ88" s="10">
        <v>268490.63</v>
      </c>
      <c r="BK88" s="10">
        <v>276690.95</v>
      </c>
      <c r="BL88" s="10">
        <v>1853317.55</v>
      </c>
      <c r="BM88" s="10">
        <v>692077.64</v>
      </c>
      <c r="BN88" s="10">
        <v>1173172.3</v>
      </c>
      <c r="BO88" s="10">
        <v>1886355.9</v>
      </c>
      <c r="BP88" s="10">
        <v>1701596.55</v>
      </c>
      <c r="BQ88" s="10">
        <v>648394.4</v>
      </c>
      <c r="BR88" s="10">
        <v>3944854.17</v>
      </c>
      <c r="BS88" s="10">
        <v>582056.44999999995</v>
      </c>
      <c r="BT88" s="10">
        <v>388960.9</v>
      </c>
      <c r="BU88" s="10">
        <v>297981.40999999997</v>
      </c>
      <c r="BV88" s="10">
        <v>309028.15000000002</v>
      </c>
      <c r="BW88" s="10">
        <v>3003784.31</v>
      </c>
      <c r="BX88" s="10">
        <v>306673.3</v>
      </c>
      <c r="BY88" s="10">
        <v>703432.91</v>
      </c>
      <c r="BZ88" s="10">
        <v>1874367.65</v>
      </c>
      <c r="CB88" t="s">
        <v>108</v>
      </c>
    </row>
    <row r="89" spans="1:80" x14ac:dyDescent="0.2">
      <c r="B89" t="s">
        <v>82</v>
      </c>
      <c r="C89" s="3">
        <f>SUM(D89:BZ89)</f>
        <v>5602.84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195.45</v>
      </c>
      <c r="K89" s="10">
        <v>0</v>
      </c>
      <c r="L89" s="10">
        <v>0</v>
      </c>
      <c r="M89" s="10">
        <v>0</v>
      </c>
      <c r="N89" s="10">
        <v>4.2</v>
      </c>
      <c r="O89" s="10">
        <v>0</v>
      </c>
      <c r="P89" s="10">
        <v>0.8</v>
      </c>
      <c r="Q89" s="10">
        <v>299.56</v>
      </c>
      <c r="R89" s="10">
        <v>0</v>
      </c>
      <c r="S89" s="10">
        <v>0</v>
      </c>
      <c r="T89" s="10">
        <v>0</v>
      </c>
      <c r="U89" s="10">
        <v>0</v>
      </c>
      <c r="V89" s="10">
        <v>9.6</v>
      </c>
      <c r="W89" s="10">
        <v>120.8</v>
      </c>
      <c r="X89" s="10">
        <v>0</v>
      </c>
      <c r="Y89" s="10">
        <v>0</v>
      </c>
      <c r="Z89" s="10">
        <v>0</v>
      </c>
      <c r="AA89" s="10">
        <v>7.2</v>
      </c>
      <c r="AB89" s="10">
        <v>0</v>
      </c>
      <c r="AC89" s="10">
        <v>81.83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3.6</v>
      </c>
      <c r="AL89" s="10">
        <v>0</v>
      </c>
      <c r="AM89" s="10">
        <v>0</v>
      </c>
      <c r="AN89" s="10">
        <v>1.45</v>
      </c>
      <c r="AO89" s="10">
        <v>0</v>
      </c>
      <c r="AP89" s="10">
        <v>2986.55</v>
      </c>
      <c r="AQ89" s="10">
        <v>9.25</v>
      </c>
      <c r="AR89" s="10">
        <v>0</v>
      </c>
      <c r="AS89" s="10">
        <v>0</v>
      </c>
      <c r="AT89" s="10">
        <v>0</v>
      </c>
      <c r="AU89" s="10">
        <v>0</v>
      </c>
      <c r="AV89" s="10">
        <v>0</v>
      </c>
      <c r="AW89" s="10">
        <v>-0.01</v>
      </c>
      <c r="AX89" s="10">
        <v>1.97</v>
      </c>
      <c r="AY89" s="10">
        <v>2.1</v>
      </c>
      <c r="AZ89" s="10">
        <v>0</v>
      </c>
      <c r="BA89" s="10">
        <v>0</v>
      </c>
      <c r="BB89" s="10">
        <v>0</v>
      </c>
      <c r="BC89" s="10">
        <v>0</v>
      </c>
      <c r="BD89" s="10">
        <v>10.01</v>
      </c>
      <c r="BE89" s="10">
        <v>0</v>
      </c>
      <c r="BF89" s="10">
        <v>0</v>
      </c>
      <c r="BG89" s="10">
        <v>0</v>
      </c>
      <c r="BH89" s="10">
        <v>1.4</v>
      </c>
      <c r="BI89" s="10">
        <v>0</v>
      </c>
      <c r="BJ89" s="10">
        <v>0</v>
      </c>
      <c r="BK89" s="10">
        <v>32.590000000000003</v>
      </c>
      <c r="BL89" s="10">
        <v>1022</v>
      </c>
      <c r="BM89" s="10">
        <v>0</v>
      </c>
      <c r="BN89" s="10">
        <v>360</v>
      </c>
      <c r="BO89" s="10">
        <v>104.3</v>
      </c>
      <c r="BP89" s="10">
        <v>345.65</v>
      </c>
      <c r="BQ89" s="10">
        <v>0</v>
      </c>
      <c r="BR89" s="10">
        <v>0</v>
      </c>
      <c r="BS89" s="10">
        <v>0</v>
      </c>
      <c r="BT89" s="10">
        <v>2.54</v>
      </c>
      <c r="BU89" s="10">
        <v>0</v>
      </c>
      <c r="BV89" s="10">
        <v>0</v>
      </c>
      <c r="BW89" s="10">
        <v>0</v>
      </c>
      <c r="BX89" s="10">
        <v>0</v>
      </c>
      <c r="BY89" s="10">
        <v>0</v>
      </c>
      <c r="BZ89" s="10">
        <v>0</v>
      </c>
      <c r="CB89" t="s">
        <v>108</v>
      </c>
    </row>
    <row r="90" spans="1:80" x14ac:dyDescent="0.2">
      <c r="B90" t="s">
        <v>83</v>
      </c>
      <c r="C90" s="3">
        <f>SUM(D90:BZ90)</f>
        <v>96099527.300000027</v>
      </c>
      <c r="D90" s="3">
        <f>D88-D89</f>
        <v>17316849</v>
      </c>
      <c r="E90" s="3">
        <f t="shared" ref="E90:BN90" si="42">E88-E89</f>
        <v>1738908.1</v>
      </c>
      <c r="F90" s="3">
        <f t="shared" si="42"/>
        <v>273322.09999999998</v>
      </c>
      <c r="G90" s="3">
        <f t="shared" si="42"/>
        <v>225592.66</v>
      </c>
      <c r="H90" s="3">
        <f t="shared" si="42"/>
        <v>258273.55</v>
      </c>
      <c r="I90" s="3">
        <f t="shared" si="42"/>
        <v>1014701.23</v>
      </c>
      <c r="J90" s="3">
        <f t="shared" si="42"/>
        <v>617746.75</v>
      </c>
      <c r="K90" s="3">
        <f t="shared" si="42"/>
        <v>69616.800000000003</v>
      </c>
      <c r="L90" s="3">
        <f t="shared" si="42"/>
        <v>102155.2</v>
      </c>
      <c r="M90" s="3">
        <f t="shared" si="42"/>
        <v>212802.4</v>
      </c>
      <c r="N90" s="3">
        <f t="shared" si="42"/>
        <v>443984.7</v>
      </c>
      <c r="O90" s="3">
        <f t="shared" si="42"/>
        <v>1545575</v>
      </c>
      <c r="P90" s="3">
        <f t="shared" si="42"/>
        <v>1776076.3</v>
      </c>
      <c r="Q90" s="3">
        <f t="shared" si="42"/>
        <v>831503.5</v>
      </c>
      <c r="R90" s="3">
        <f t="shared" si="42"/>
        <v>648437.69999999995</v>
      </c>
      <c r="S90" s="3">
        <f t="shared" si="42"/>
        <v>1225594.6399999999</v>
      </c>
      <c r="T90" s="3">
        <f t="shared" si="42"/>
        <v>882529.91</v>
      </c>
      <c r="U90" s="3">
        <f t="shared" si="42"/>
        <v>911421.48</v>
      </c>
      <c r="V90" s="3">
        <f t="shared" si="42"/>
        <v>951069.75</v>
      </c>
      <c r="W90" s="3">
        <f t="shared" si="42"/>
        <v>1142990.1499999999</v>
      </c>
      <c r="X90" s="3">
        <f t="shared" si="42"/>
        <v>2446751.56</v>
      </c>
      <c r="Y90" s="3">
        <f t="shared" si="42"/>
        <v>854008.4</v>
      </c>
      <c r="Z90" s="3">
        <f t="shared" si="42"/>
        <v>419125.2</v>
      </c>
      <c r="AA90" s="3">
        <f t="shared" si="42"/>
        <v>2445360.5999999996</v>
      </c>
      <c r="AB90" s="3">
        <f t="shared" si="42"/>
        <v>292142.65000000002</v>
      </c>
      <c r="AC90" s="3">
        <f t="shared" si="42"/>
        <v>1925258.27</v>
      </c>
      <c r="AD90" s="3">
        <f t="shared" si="42"/>
        <v>532741.85</v>
      </c>
      <c r="AE90" s="3">
        <f t="shared" si="42"/>
        <v>1412752.3</v>
      </c>
      <c r="AF90" s="3">
        <f t="shared" si="42"/>
        <v>666006.68000000005</v>
      </c>
      <c r="AG90" s="3">
        <f t="shared" si="42"/>
        <v>1358144</v>
      </c>
      <c r="AH90" s="3">
        <f t="shared" si="42"/>
        <v>2424838.65</v>
      </c>
      <c r="AI90" s="3">
        <f t="shared" si="42"/>
        <v>1011647</v>
      </c>
      <c r="AJ90" s="3">
        <f t="shared" si="42"/>
        <v>862606.7</v>
      </c>
      <c r="AK90" s="3">
        <f t="shared" si="42"/>
        <v>1226563.2</v>
      </c>
      <c r="AL90" s="3">
        <f t="shared" si="42"/>
        <v>1055886.6599999999</v>
      </c>
      <c r="AM90" s="3">
        <f t="shared" si="42"/>
        <v>1685165.15</v>
      </c>
      <c r="AN90" s="3">
        <f t="shared" si="42"/>
        <v>422110.89999999997</v>
      </c>
      <c r="AO90" s="3">
        <f t="shared" si="42"/>
        <v>1889515.85</v>
      </c>
      <c r="AP90" s="3">
        <f t="shared" si="42"/>
        <v>1177347.25</v>
      </c>
      <c r="AQ90" s="3">
        <f t="shared" si="42"/>
        <v>1185063.8</v>
      </c>
      <c r="AR90" s="3">
        <f t="shared" si="42"/>
        <v>941167.75</v>
      </c>
      <c r="AS90" s="3">
        <f t="shared" si="42"/>
        <v>536770.19999999995</v>
      </c>
      <c r="AT90" s="3">
        <f t="shared" si="42"/>
        <v>416729</v>
      </c>
      <c r="AU90" s="3">
        <f t="shared" si="42"/>
        <v>717604.66</v>
      </c>
      <c r="AV90" s="3">
        <f t="shared" si="42"/>
        <v>565995.85</v>
      </c>
      <c r="AW90" s="3">
        <f t="shared" si="42"/>
        <v>866736.31</v>
      </c>
      <c r="AX90" s="3">
        <f t="shared" si="42"/>
        <v>1262201.3800000001</v>
      </c>
      <c r="AY90" s="3">
        <f t="shared" si="42"/>
        <v>1355667.5499999998</v>
      </c>
      <c r="AZ90" s="3">
        <f t="shared" si="42"/>
        <v>904753.25</v>
      </c>
      <c r="BA90" s="3">
        <f t="shared" si="42"/>
        <v>2982275.4</v>
      </c>
      <c r="BB90" s="3">
        <f t="shared" si="42"/>
        <v>2114099.12</v>
      </c>
      <c r="BC90" s="3">
        <f t="shared" si="42"/>
        <v>835389</v>
      </c>
      <c r="BD90" s="3">
        <f t="shared" si="42"/>
        <v>630807.59</v>
      </c>
      <c r="BE90" s="3">
        <f t="shared" si="42"/>
        <v>910549.15</v>
      </c>
      <c r="BF90" s="3">
        <f t="shared" si="42"/>
        <v>1516705.05</v>
      </c>
      <c r="BG90" s="3">
        <f t="shared" si="42"/>
        <v>314031.5</v>
      </c>
      <c r="BH90" s="3">
        <f t="shared" ref="BH90" si="43">BH88-BH89</f>
        <v>963793.46</v>
      </c>
      <c r="BI90" s="3">
        <f t="shared" si="42"/>
        <v>872695.4</v>
      </c>
      <c r="BJ90" s="3">
        <f t="shared" si="42"/>
        <v>268490.63</v>
      </c>
      <c r="BK90" s="3">
        <f t="shared" si="42"/>
        <v>276658.36</v>
      </c>
      <c r="BL90" s="3">
        <f t="shared" si="42"/>
        <v>1852295.55</v>
      </c>
      <c r="BM90" s="3">
        <f t="shared" si="42"/>
        <v>692077.64</v>
      </c>
      <c r="BN90" s="3">
        <f t="shared" si="42"/>
        <v>1172812.3</v>
      </c>
      <c r="BO90" s="3">
        <f t="shared" ref="BO90:BZ90" si="44">BO88-BO89</f>
        <v>1886251.5999999999</v>
      </c>
      <c r="BP90" s="3">
        <f t="shared" si="44"/>
        <v>1701250.9000000001</v>
      </c>
      <c r="BQ90" s="3">
        <f t="shared" si="44"/>
        <v>648394.4</v>
      </c>
      <c r="BR90" s="3">
        <f t="shared" si="44"/>
        <v>3944854.17</v>
      </c>
      <c r="BS90" s="3">
        <f t="shared" si="44"/>
        <v>582056.44999999995</v>
      </c>
      <c r="BT90" s="3">
        <f t="shared" si="44"/>
        <v>388958.36000000004</v>
      </c>
      <c r="BU90" s="3">
        <f t="shared" si="44"/>
        <v>297981.40999999997</v>
      </c>
      <c r="BV90" s="3">
        <f t="shared" si="44"/>
        <v>309028.15000000002</v>
      </c>
      <c r="BW90" s="3">
        <f t="shared" si="44"/>
        <v>3003784.31</v>
      </c>
      <c r="BX90" s="3">
        <f t="shared" si="44"/>
        <v>306673.3</v>
      </c>
      <c r="BY90" s="3">
        <f t="shared" si="44"/>
        <v>703432.91</v>
      </c>
      <c r="BZ90" s="3">
        <f t="shared" si="44"/>
        <v>1874367.65</v>
      </c>
    </row>
    <row r="91" spans="1:80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1:80" x14ac:dyDescent="0.2">
      <c r="B92" t="s">
        <v>92</v>
      </c>
      <c r="C92" s="3">
        <f>SUM(D92:BZ92)</f>
        <v>139191037.09916666</v>
      </c>
      <c r="D92" s="3">
        <f>D90/D86</f>
        <v>21646061.25</v>
      </c>
      <c r="E92" s="3">
        <f t="shared" ref="E92:BN92" si="45">E90/E86</f>
        <v>2173635.125</v>
      </c>
      <c r="F92" s="3">
        <f t="shared" si="45"/>
        <v>341652.62499999994</v>
      </c>
      <c r="G92" s="3">
        <f t="shared" si="45"/>
        <v>281990.82500000001</v>
      </c>
      <c r="H92" s="3">
        <f t="shared" si="45"/>
        <v>1291367.7499999998</v>
      </c>
      <c r="I92" s="3">
        <f t="shared" si="45"/>
        <v>2536753.0749999997</v>
      </c>
      <c r="J92" s="3">
        <f t="shared" si="45"/>
        <v>1029577.9166666667</v>
      </c>
      <c r="K92" s="3">
        <f t="shared" si="45"/>
        <v>232056.00000000003</v>
      </c>
      <c r="L92" s="3">
        <f t="shared" si="45"/>
        <v>510775.99999999994</v>
      </c>
      <c r="M92" s="3">
        <f t="shared" si="45"/>
        <v>266003</v>
      </c>
      <c r="N92" s="3">
        <f t="shared" si="45"/>
        <v>554980.875</v>
      </c>
      <c r="O92" s="3">
        <f t="shared" si="45"/>
        <v>1931968.75</v>
      </c>
      <c r="P92" s="3">
        <f t="shared" si="45"/>
        <v>2220095.375</v>
      </c>
      <c r="Q92" s="3">
        <f t="shared" si="45"/>
        <v>2078758.75</v>
      </c>
      <c r="R92" s="3">
        <f t="shared" si="45"/>
        <v>810547.12499999988</v>
      </c>
      <c r="S92" s="3">
        <f t="shared" si="45"/>
        <v>1531993.2999999998</v>
      </c>
      <c r="T92" s="3">
        <f t="shared" si="45"/>
        <v>2206324.7749999999</v>
      </c>
      <c r="U92" s="3">
        <f t="shared" si="45"/>
        <v>1139276.8499999999</v>
      </c>
      <c r="V92" s="3">
        <f t="shared" si="45"/>
        <v>1585116.25</v>
      </c>
      <c r="W92" s="3">
        <f t="shared" si="45"/>
        <v>1904983.5833333333</v>
      </c>
      <c r="X92" s="3">
        <f t="shared" si="45"/>
        <v>3058439.4499999997</v>
      </c>
      <c r="Y92" s="3">
        <f t="shared" si="45"/>
        <v>1067510.5</v>
      </c>
      <c r="Z92" s="3">
        <f t="shared" si="45"/>
        <v>523906.5</v>
      </c>
      <c r="AA92" s="3">
        <f t="shared" si="45"/>
        <v>3056700.7499999995</v>
      </c>
      <c r="AB92" s="3">
        <f t="shared" si="45"/>
        <v>365178.3125</v>
      </c>
      <c r="AC92" s="3">
        <f t="shared" si="45"/>
        <v>2406572.8374999999</v>
      </c>
      <c r="AD92" s="3">
        <f t="shared" si="45"/>
        <v>665927.31249999988</v>
      </c>
      <c r="AE92" s="3">
        <f t="shared" si="45"/>
        <v>1765940.375</v>
      </c>
      <c r="AF92" s="3">
        <f t="shared" si="45"/>
        <v>832508.35</v>
      </c>
      <c r="AG92" s="3">
        <f t="shared" si="45"/>
        <v>1697680</v>
      </c>
      <c r="AH92" s="3">
        <f t="shared" si="45"/>
        <v>3464055.2142857146</v>
      </c>
      <c r="AI92" s="3">
        <f t="shared" si="45"/>
        <v>1264558.75</v>
      </c>
      <c r="AJ92" s="3">
        <f t="shared" si="45"/>
        <v>1232295.2857142857</v>
      </c>
      <c r="AK92" s="3">
        <f t="shared" si="45"/>
        <v>1533203.9999999998</v>
      </c>
      <c r="AL92" s="3">
        <f t="shared" si="45"/>
        <v>1319858.3249999997</v>
      </c>
      <c r="AM92" s="3">
        <f t="shared" si="45"/>
        <v>2106456.4374999995</v>
      </c>
      <c r="AN92" s="3">
        <f t="shared" si="45"/>
        <v>527638.62499999988</v>
      </c>
      <c r="AO92" s="3">
        <f t="shared" si="45"/>
        <v>2361894.8125</v>
      </c>
      <c r="AP92" s="3">
        <f t="shared" si="45"/>
        <v>1471684.0625</v>
      </c>
      <c r="AQ92" s="3">
        <f t="shared" si="45"/>
        <v>1481329.75</v>
      </c>
      <c r="AR92" s="3">
        <f t="shared" si="45"/>
        <v>1176459.6875</v>
      </c>
      <c r="AS92" s="3">
        <f t="shared" si="45"/>
        <v>670962.74999999988</v>
      </c>
      <c r="AT92" s="3">
        <f t="shared" si="45"/>
        <v>520911.25</v>
      </c>
      <c r="AU92" s="3">
        <f t="shared" si="45"/>
        <v>897005.82499999995</v>
      </c>
      <c r="AV92" s="3">
        <f t="shared" si="45"/>
        <v>707494.81249999988</v>
      </c>
      <c r="AW92" s="3">
        <f t="shared" si="45"/>
        <v>1083420.3875</v>
      </c>
      <c r="AX92" s="3">
        <f t="shared" si="45"/>
        <v>1577751.7250000001</v>
      </c>
      <c r="AY92" s="3">
        <f t="shared" si="45"/>
        <v>1694584.4374999998</v>
      </c>
      <c r="AZ92" s="3">
        <f t="shared" si="45"/>
        <v>1130941.5625</v>
      </c>
      <c r="BA92" s="3">
        <f t="shared" si="45"/>
        <v>9940918</v>
      </c>
      <c r="BB92" s="3">
        <f t="shared" si="45"/>
        <v>2642623.9</v>
      </c>
      <c r="BC92" s="3">
        <f t="shared" si="45"/>
        <v>1044236.25</v>
      </c>
      <c r="BD92" s="3">
        <f t="shared" si="45"/>
        <v>788509.48749999993</v>
      </c>
      <c r="BE92" s="3">
        <f t="shared" si="45"/>
        <v>1138186.4375</v>
      </c>
      <c r="BF92" s="3">
        <f t="shared" si="45"/>
        <v>1895881.3125</v>
      </c>
      <c r="BG92" s="3">
        <f t="shared" si="45"/>
        <v>392539.375</v>
      </c>
      <c r="BH92" s="3">
        <f t="shared" ref="BH92" si="46">BH90/BH86</f>
        <v>1204741.825</v>
      </c>
      <c r="BI92" s="3">
        <f t="shared" si="45"/>
        <v>1090869.25</v>
      </c>
      <c r="BJ92" s="3">
        <f t="shared" si="45"/>
        <v>335613.28749999998</v>
      </c>
      <c r="BK92" s="3">
        <f t="shared" si="45"/>
        <v>553316.72</v>
      </c>
      <c r="BL92" s="3">
        <f t="shared" si="45"/>
        <v>2315369.4375</v>
      </c>
      <c r="BM92" s="3">
        <f t="shared" si="45"/>
        <v>1153462.7333333334</v>
      </c>
      <c r="BN92" s="3">
        <f t="shared" si="45"/>
        <v>1466015.375</v>
      </c>
      <c r="BO92" s="3">
        <f t="shared" ref="BO92:BZ92" si="47">BO90/BO86</f>
        <v>3143752.6666666665</v>
      </c>
      <c r="BP92" s="3">
        <f t="shared" si="47"/>
        <v>2126563.625</v>
      </c>
      <c r="BQ92" s="3">
        <f t="shared" si="47"/>
        <v>810493</v>
      </c>
      <c r="BR92" s="3">
        <f t="shared" si="47"/>
        <v>6574756.9500000002</v>
      </c>
      <c r="BS92" s="3">
        <f t="shared" si="47"/>
        <v>1455141.1249999998</v>
      </c>
      <c r="BT92" s="3">
        <f t="shared" si="47"/>
        <v>1296527.8666666669</v>
      </c>
      <c r="BU92" s="3">
        <f t="shared" si="47"/>
        <v>372476.76249999995</v>
      </c>
      <c r="BV92" s="3">
        <f t="shared" si="47"/>
        <v>772570.375</v>
      </c>
      <c r="BW92" s="3">
        <f t="shared" si="47"/>
        <v>5006307.1833333336</v>
      </c>
      <c r="BX92" s="3">
        <f t="shared" si="47"/>
        <v>511122.16666666669</v>
      </c>
      <c r="BY92" s="3">
        <f t="shared" si="47"/>
        <v>879291.13749999995</v>
      </c>
      <c r="BZ92" s="3">
        <f t="shared" si="47"/>
        <v>2342959.5624999995</v>
      </c>
    </row>
    <row r="93" spans="1:80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1:80" s="19" customFormat="1" x14ac:dyDescent="0.2">
      <c r="B94" s="19" t="s">
        <v>89</v>
      </c>
      <c r="C94" s="13">
        <f>C92*$C86</f>
        <v>96099527.300000027</v>
      </c>
      <c r="D94" s="13">
        <f>D92*$C86</f>
        <v>14944757.201211354</v>
      </c>
      <c r="E94" s="13">
        <f t="shared" ref="E94:BN94" si="48">E92*$C86</f>
        <v>1500709.473745469</v>
      </c>
      <c r="F94" s="13">
        <f t="shared" si="48"/>
        <v>235881.96803155175</v>
      </c>
      <c r="G94" s="13">
        <f t="shared" si="48"/>
        <v>194690.58892154251</v>
      </c>
      <c r="H94" s="13">
        <f t="shared" si="48"/>
        <v>891579.17730758525</v>
      </c>
      <c r="I94" s="13">
        <f t="shared" si="48"/>
        <v>1751411.4160284607</v>
      </c>
      <c r="J94" s="13">
        <f t="shared" si="48"/>
        <v>710835.64841674606</v>
      </c>
      <c r="K94" s="13">
        <f t="shared" si="48"/>
        <v>160214.85558183488</v>
      </c>
      <c r="L94" s="13">
        <f t="shared" si="48"/>
        <v>352647.21909654251</v>
      </c>
      <c r="M94" s="13">
        <f t="shared" si="48"/>
        <v>183652.36076350027</v>
      </c>
      <c r="N94" s="13">
        <f t="shared" si="48"/>
        <v>383166.91117146442</v>
      </c>
      <c r="O94" s="13">
        <f t="shared" si="48"/>
        <v>1333859.4747382875</v>
      </c>
      <c r="P94" s="13">
        <f t="shared" si="48"/>
        <v>1532786.3096990576</v>
      </c>
      <c r="Q94" s="13">
        <f t="shared" si="48"/>
        <v>1435205.4371389905</v>
      </c>
      <c r="R94" s="13">
        <f t="shared" si="48"/>
        <v>559613.58712615247</v>
      </c>
      <c r="S94" s="13">
        <f t="shared" si="48"/>
        <v>1057710.5755155592</v>
      </c>
      <c r="T94" s="13">
        <f t="shared" si="48"/>
        <v>1523278.8861018431</v>
      </c>
      <c r="U94" s="13">
        <f t="shared" si="48"/>
        <v>786573.39603577461</v>
      </c>
      <c r="V94" s="13">
        <f t="shared" si="48"/>
        <v>1094387.4369728412</v>
      </c>
      <c r="W94" s="13">
        <f t="shared" si="48"/>
        <v>1315228.5210876523</v>
      </c>
      <c r="X94" s="13">
        <f t="shared" si="48"/>
        <v>2111591.3175592804</v>
      </c>
      <c r="Y94" s="13">
        <f t="shared" si="48"/>
        <v>737024.85860995762</v>
      </c>
      <c r="Z94" s="13">
        <f t="shared" si="48"/>
        <v>361712.70829405217</v>
      </c>
      <c r="AA94" s="13">
        <f t="shared" si="48"/>
        <v>2110390.893655567</v>
      </c>
      <c r="AB94" s="13">
        <f t="shared" si="48"/>
        <v>252124.44668013608</v>
      </c>
      <c r="AC94" s="13">
        <f t="shared" si="48"/>
        <v>1661533.0765299283</v>
      </c>
      <c r="AD94" s="13">
        <f t="shared" si="48"/>
        <v>459765.95390848286</v>
      </c>
      <c r="AE94" s="13">
        <f t="shared" si="48"/>
        <v>1219231.0569291736</v>
      </c>
      <c r="AF94" s="13">
        <f t="shared" si="48"/>
        <v>574775.93798876833</v>
      </c>
      <c r="AG94" s="13">
        <f t="shared" si="48"/>
        <v>1172103.0959086143</v>
      </c>
      <c r="AH94" s="13">
        <f t="shared" si="48"/>
        <v>2391634.3722389759</v>
      </c>
      <c r="AI94" s="13">
        <f t="shared" si="48"/>
        <v>873069.85169957089</v>
      </c>
      <c r="AJ94" s="13">
        <f t="shared" si="48"/>
        <v>850794.68419213558</v>
      </c>
      <c r="AK94" s="13">
        <f t="shared" si="48"/>
        <v>1058546.4604987223</v>
      </c>
      <c r="AL94" s="13">
        <f t="shared" si="48"/>
        <v>911249.48688401689</v>
      </c>
      <c r="AM94" s="13">
        <f t="shared" si="48"/>
        <v>1454328.3255916191</v>
      </c>
      <c r="AN94" s="13">
        <f t="shared" si="48"/>
        <v>364289.42196613277</v>
      </c>
      <c r="AO94" s="13">
        <f t="shared" si="48"/>
        <v>1630686.7147764869</v>
      </c>
      <c r="AP94" s="13">
        <f t="shared" si="48"/>
        <v>1016072.1960885542</v>
      </c>
      <c r="AQ94" s="13">
        <f t="shared" si="48"/>
        <v>1022731.7197802493</v>
      </c>
      <c r="AR94" s="13">
        <f t="shared" si="48"/>
        <v>812244.97074267885</v>
      </c>
      <c r="AS94" s="13">
        <f t="shared" si="48"/>
        <v>463242.49358793028</v>
      </c>
      <c r="AT94" s="13">
        <f t="shared" si="48"/>
        <v>359644.74389674509</v>
      </c>
      <c r="AU94" s="13">
        <f t="shared" si="48"/>
        <v>619305.93782724696</v>
      </c>
      <c r="AV94" s="13">
        <f t="shared" si="48"/>
        <v>488464.76371903683</v>
      </c>
      <c r="AW94" s="13">
        <f t="shared" si="48"/>
        <v>748009.27757837786</v>
      </c>
      <c r="AX94" s="13">
        <f t="shared" si="48"/>
        <v>1089302.8612268842</v>
      </c>
      <c r="AY94" s="13">
        <f t="shared" si="48"/>
        <v>1169965.8742945122</v>
      </c>
      <c r="AZ94" s="13">
        <f t="shared" si="48"/>
        <v>780818.59166508156</v>
      </c>
      <c r="BA94" s="13">
        <f t="shared" si="48"/>
        <v>6863355.1458305866</v>
      </c>
      <c r="BB94" s="13">
        <f t="shared" si="48"/>
        <v>1824506.1816785827</v>
      </c>
      <c r="BC94" s="13">
        <f t="shared" si="48"/>
        <v>720955.97608795634</v>
      </c>
      <c r="BD94" s="13">
        <f t="shared" si="48"/>
        <v>544398.47995621362</v>
      </c>
      <c r="BE94" s="13">
        <f t="shared" si="48"/>
        <v>785820.55930148589</v>
      </c>
      <c r="BF94" s="13">
        <f t="shared" si="48"/>
        <v>1308944.1802086006</v>
      </c>
      <c r="BG94" s="13">
        <f t="shared" si="48"/>
        <v>271014.92431054881</v>
      </c>
      <c r="BH94" s="13">
        <f t="shared" ref="BH94" si="49">BH92*$C86</f>
        <v>831771.3720212843</v>
      </c>
      <c r="BI94" s="13">
        <f t="shared" si="48"/>
        <v>753152.08116753935</v>
      </c>
      <c r="BJ94" s="13">
        <f t="shared" si="48"/>
        <v>231712.32111282329</v>
      </c>
      <c r="BK94" s="13">
        <f t="shared" si="48"/>
        <v>382017.95422576688</v>
      </c>
      <c r="BL94" s="13">
        <f t="shared" si="48"/>
        <v>1598564.9155706239</v>
      </c>
      <c r="BM94" s="13">
        <f t="shared" si="48"/>
        <v>796367.53731870116</v>
      </c>
      <c r="BN94" s="13">
        <f t="shared" si="48"/>
        <v>1012158.4513495642</v>
      </c>
      <c r="BO94" s="13">
        <f t="shared" ref="BO94:BZ94" si="50">BO92*$C86</f>
        <v>2170492.8098174934</v>
      </c>
      <c r="BP94" s="13">
        <f t="shared" si="50"/>
        <v>1468210.6218540275</v>
      </c>
      <c r="BQ94" s="13">
        <f t="shared" si="50"/>
        <v>559576.21843472298</v>
      </c>
      <c r="BR94" s="13">
        <f t="shared" si="50"/>
        <v>4539308.3360478291</v>
      </c>
      <c r="BS94" s="13">
        <f t="shared" si="50"/>
        <v>1004650.7101435157</v>
      </c>
      <c r="BT94" s="13">
        <f t="shared" si="50"/>
        <v>895141.79730679013</v>
      </c>
      <c r="BU94" s="13">
        <f t="shared" si="50"/>
        <v>257163.40327992768</v>
      </c>
      <c r="BV94" s="13">
        <f t="shared" si="50"/>
        <v>533393.88362045796</v>
      </c>
      <c r="BW94" s="13">
        <f t="shared" si="50"/>
        <v>3456427.6828698786</v>
      </c>
      <c r="BX94" s="13">
        <f t="shared" si="50"/>
        <v>352886.21762494626</v>
      </c>
      <c r="BY94" s="13">
        <f t="shared" si="50"/>
        <v>607075.45854858216</v>
      </c>
      <c r="BZ94" s="13">
        <f t="shared" si="50"/>
        <v>1617613.5413004465</v>
      </c>
      <c r="CB94"/>
    </row>
    <row r="95" spans="1:80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1:80" s="19" customFormat="1" x14ac:dyDescent="0.2">
      <c r="A96" s="23" t="s">
        <v>154</v>
      </c>
      <c r="B96" s="24" t="s">
        <v>85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25"/>
      <c r="CB96" s="23"/>
    </row>
    <row r="97" spans="1:80" x14ac:dyDescent="0.2">
      <c r="B97" t="s">
        <v>81</v>
      </c>
      <c r="C97" s="3">
        <f>SUM(D97:BZ97)</f>
        <v>1565417.9599999997</v>
      </c>
      <c r="D97" s="10">
        <v>327957</v>
      </c>
      <c r="E97" s="10">
        <v>31901.88</v>
      </c>
      <c r="F97" s="10">
        <v>3307.1</v>
      </c>
      <c r="G97" s="10">
        <v>2928.3</v>
      </c>
      <c r="H97" s="10">
        <v>10900.6</v>
      </c>
      <c r="I97" s="10">
        <v>16200.84</v>
      </c>
      <c r="J97" s="10">
        <v>11989.2</v>
      </c>
      <c r="K97" s="10">
        <v>1989.75</v>
      </c>
      <c r="L97" s="10">
        <v>0</v>
      </c>
      <c r="M97" s="10">
        <v>2744.15</v>
      </c>
      <c r="N97" s="10">
        <v>6128.85</v>
      </c>
      <c r="O97" s="10">
        <v>16056</v>
      </c>
      <c r="P97" s="10">
        <v>38541.4</v>
      </c>
      <c r="Q97" s="10">
        <v>21571.1</v>
      </c>
      <c r="R97" s="10">
        <v>11996.55</v>
      </c>
      <c r="S97" s="10">
        <v>12685.72</v>
      </c>
      <c r="T97" s="10">
        <v>29048.89</v>
      </c>
      <c r="U97" s="10">
        <v>7515.2</v>
      </c>
      <c r="V97" s="10">
        <v>9290.1</v>
      </c>
      <c r="W97" s="10">
        <v>18349.599999999999</v>
      </c>
      <c r="X97" s="10">
        <v>16614.939999999999</v>
      </c>
      <c r="Y97" s="10">
        <v>7895.6</v>
      </c>
      <c r="Z97" s="10">
        <v>3798.75</v>
      </c>
      <c r="AA97" s="10">
        <v>42459.8</v>
      </c>
      <c r="AB97" s="10">
        <v>2122.8000000000002</v>
      </c>
      <c r="AC97" s="10">
        <v>25045.8</v>
      </c>
      <c r="AD97" s="10">
        <v>4004.8</v>
      </c>
      <c r="AE97" s="10">
        <v>26252.400000000001</v>
      </c>
      <c r="AF97" s="10">
        <v>7764.6</v>
      </c>
      <c r="AG97" s="10">
        <v>25399.35</v>
      </c>
      <c r="AH97" s="10">
        <v>33752</v>
      </c>
      <c r="AI97" s="10">
        <v>6267</v>
      </c>
      <c r="AJ97" s="10">
        <v>11550.1</v>
      </c>
      <c r="AK97" s="10">
        <v>12348.55</v>
      </c>
      <c r="AL97" s="10">
        <v>9725.2999999999993</v>
      </c>
      <c r="AM97" s="10">
        <v>11665.5</v>
      </c>
      <c r="AN97" s="10">
        <v>25858.45</v>
      </c>
      <c r="AO97" s="10">
        <v>27546.75</v>
      </c>
      <c r="AP97" s="10">
        <v>11703</v>
      </c>
      <c r="AQ97" s="10">
        <v>11991.8</v>
      </c>
      <c r="AR97" s="10">
        <v>184.2</v>
      </c>
      <c r="AS97" s="10">
        <v>5677.95</v>
      </c>
      <c r="AT97" s="10">
        <v>6040</v>
      </c>
      <c r="AU97" s="10">
        <v>6854.84</v>
      </c>
      <c r="AV97" s="10">
        <v>5593.6</v>
      </c>
      <c r="AW97" s="10">
        <v>7191.9</v>
      </c>
      <c r="AX97" s="10">
        <v>10881.45</v>
      </c>
      <c r="AY97" s="10">
        <v>26707.5</v>
      </c>
      <c r="AZ97" s="10">
        <v>13653.1</v>
      </c>
      <c r="BA97" s="10">
        <v>102585.45</v>
      </c>
      <c r="BB97" s="10">
        <v>22384.95</v>
      </c>
      <c r="BC97" s="10">
        <v>7420.6</v>
      </c>
      <c r="BD97" s="10">
        <v>19859.8</v>
      </c>
      <c r="BE97" s="10">
        <v>12341.82</v>
      </c>
      <c r="BF97" s="10">
        <v>33783.199999999997</v>
      </c>
      <c r="BG97" s="10">
        <v>4306.3500000000004</v>
      </c>
      <c r="BH97" s="10">
        <v>22370</v>
      </c>
      <c r="BI97" s="10">
        <v>16248.4</v>
      </c>
      <c r="BJ97" s="10">
        <v>3204.8</v>
      </c>
      <c r="BK97" s="10">
        <v>9907.24</v>
      </c>
      <c r="BL97" s="10">
        <v>30418.45</v>
      </c>
      <c r="BM97" s="10">
        <v>7014.71</v>
      </c>
      <c r="BN97" s="10">
        <v>13719</v>
      </c>
      <c r="BO97" s="10">
        <v>29558.5</v>
      </c>
      <c r="BP97" s="10">
        <v>30483.15</v>
      </c>
      <c r="BQ97" s="10">
        <v>12910.25</v>
      </c>
      <c r="BR97" s="10">
        <v>101215.45</v>
      </c>
      <c r="BS97" s="10">
        <v>8779.85</v>
      </c>
      <c r="BT97" s="10">
        <v>9798.4500000000007</v>
      </c>
      <c r="BU97" s="10">
        <v>1268.4000000000001</v>
      </c>
      <c r="BV97" s="10">
        <v>7992.5</v>
      </c>
      <c r="BW97" s="10">
        <v>31763.24</v>
      </c>
      <c r="BX97" s="10">
        <v>5595.35</v>
      </c>
      <c r="BY97" s="10">
        <v>12717.14</v>
      </c>
      <c r="BZ97" s="10">
        <v>20116.849999999999</v>
      </c>
      <c r="CB97" t="s">
        <v>108</v>
      </c>
    </row>
    <row r="98" spans="1:80" x14ac:dyDescent="0.2">
      <c r="B98" t="s">
        <v>82</v>
      </c>
      <c r="C98" s="3">
        <f>SUM(D98:BZ98)</f>
        <v>11.899999999999999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0.2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10">
        <v>0</v>
      </c>
      <c r="BJ98" s="10">
        <v>0</v>
      </c>
      <c r="BK98" s="10">
        <v>0</v>
      </c>
      <c r="BL98" s="10">
        <v>11.7</v>
      </c>
      <c r="BM98" s="10">
        <v>0</v>
      </c>
      <c r="BN98" s="10">
        <v>0</v>
      </c>
      <c r="BO98" s="10">
        <v>0</v>
      </c>
      <c r="BP98" s="10">
        <v>0</v>
      </c>
      <c r="BQ98" s="10">
        <v>0</v>
      </c>
      <c r="BR98" s="10">
        <v>0</v>
      </c>
      <c r="BS98" s="10">
        <v>0</v>
      </c>
      <c r="BT98" s="10">
        <v>0</v>
      </c>
      <c r="BU98" s="10">
        <v>0</v>
      </c>
      <c r="BV98" s="10">
        <v>0</v>
      </c>
      <c r="BW98" s="10">
        <v>0</v>
      </c>
      <c r="BX98" s="10">
        <v>0</v>
      </c>
      <c r="BY98" s="10">
        <v>0</v>
      </c>
      <c r="BZ98" s="10">
        <v>0</v>
      </c>
      <c r="CB98" t="s">
        <v>108</v>
      </c>
    </row>
    <row r="99" spans="1:80" s="19" customFormat="1" x14ac:dyDescent="0.2">
      <c r="B99" s="19" t="s">
        <v>90</v>
      </c>
      <c r="C99" s="13">
        <f>SUM(D99:BZ99)</f>
        <v>1565406.0599999996</v>
      </c>
      <c r="D99" s="13">
        <f>D97-D98</f>
        <v>327957</v>
      </c>
      <c r="E99" s="13">
        <f t="shared" ref="E99:BN99" si="51">E97-E98</f>
        <v>31901.88</v>
      </c>
      <c r="F99" s="13">
        <f t="shared" si="51"/>
        <v>3307.1</v>
      </c>
      <c r="G99" s="13">
        <f t="shared" si="51"/>
        <v>2928.3</v>
      </c>
      <c r="H99" s="13">
        <f t="shared" si="51"/>
        <v>10900.6</v>
      </c>
      <c r="I99" s="13">
        <f t="shared" si="51"/>
        <v>16200.84</v>
      </c>
      <c r="J99" s="13">
        <f t="shared" si="51"/>
        <v>11989.2</v>
      </c>
      <c r="K99" s="13">
        <f t="shared" si="51"/>
        <v>1989.75</v>
      </c>
      <c r="L99" s="13">
        <f t="shared" si="51"/>
        <v>0</v>
      </c>
      <c r="M99" s="13">
        <f t="shared" si="51"/>
        <v>2744.15</v>
      </c>
      <c r="N99" s="13">
        <f t="shared" si="51"/>
        <v>6128.85</v>
      </c>
      <c r="O99" s="13">
        <f t="shared" si="51"/>
        <v>16056</v>
      </c>
      <c r="P99" s="13">
        <f t="shared" si="51"/>
        <v>38541.4</v>
      </c>
      <c r="Q99" s="13">
        <f t="shared" si="51"/>
        <v>21571.1</v>
      </c>
      <c r="R99" s="13">
        <f t="shared" si="51"/>
        <v>11996.55</v>
      </c>
      <c r="S99" s="13">
        <f t="shared" si="51"/>
        <v>12685.72</v>
      </c>
      <c r="T99" s="13">
        <f t="shared" si="51"/>
        <v>29048.89</v>
      </c>
      <c r="U99" s="13">
        <f t="shared" si="51"/>
        <v>7515.2</v>
      </c>
      <c r="V99" s="13">
        <f t="shared" si="51"/>
        <v>9290.1</v>
      </c>
      <c r="W99" s="13">
        <f t="shared" si="51"/>
        <v>18349.599999999999</v>
      </c>
      <c r="X99" s="13">
        <f t="shared" si="51"/>
        <v>16614.939999999999</v>
      </c>
      <c r="Y99" s="13">
        <f t="shared" si="51"/>
        <v>7895.6</v>
      </c>
      <c r="Z99" s="13">
        <f t="shared" si="51"/>
        <v>3798.75</v>
      </c>
      <c r="AA99" s="13">
        <f t="shared" si="51"/>
        <v>42459.8</v>
      </c>
      <c r="AB99" s="13">
        <f t="shared" si="51"/>
        <v>2122.8000000000002</v>
      </c>
      <c r="AC99" s="13">
        <f t="shared" si="51"/>
        <v>25045.8</v>
      </c>
      <c r="AD99" s="13">
        <f t="shared" si="51"/>
        <v>4004.8</v>
      </c>
      <c r="AE99" s="13">
        <f t="shared" si="51"/>
        <v>26252.400000000001</v>
      </c>
      <c r="AF99" s="13">
        <f t="shared" si="51"/>
        <v>7764.6</v>
      </c>
      <c r="AG99" s="13">
        <f t="shared" si="51"/>
        <v>25399.35</v>
      </c>
      <c r="AH99" s="13">
        <f t="shared" si="51"/>
        <v>33752</v>
      </c>
      <c r="AI99" s="13">
        <f t="shared" si="51"/>
        <v>6267</v>
      </c>
      <c r="AJ99" s="13">
        <f t="shared" si="51"/>
        <v>11550.1</v>
      </c>
      <c r="AK99" s="13">
        <f t="shared" si="51"/>
        <v>12348.55</v>
      </c>
      <c r="AL99" s="13">
        <f t="shared" si="51"/>
        <v>9725.2999999999993</v>
      </c>
      <c r="AM99" s="13">
        <f t="shared" si="51"/>
        <v>11665.5</v>
      </c>
      <c r="AN99" s="13">
        <f t="shared" si="51"/>
        <v>25858.45</v>
      </c>
      <c r="AO99" s="13">
        <f t="shared" si="51"/>
        <v>27546.75</v>
      </c>
      <c r="AP99" s="13">
        <f t="shared" si="51"/>
        <v>11703</v>
      </c>
      <c r="AQ99" s="13">
        <f t="shared" si="51"/>
        <v>11991.8</v>
      </c>
      <c r="AR99" s="13">
        <f t="shared" si="51"/>
        <v>184.2</v>
      </c>
      <c r="AS99" s="13">
        <f t="shared" si="51"/>
        <v>5677.95</v>
      </c>
      <c r="AT99" s="13">
        <f t="shared" si="51"/>
        <v>6040</v>
      </c>
      <c r="AU99" s="13">
        <f t="shared" si="51"/>
        <v>6854.84</v>
      </c>
      <c r="AV99" s="13">
        <f t="shared" si="51"/>
        <v>5593.6</v>
      </c>
      <c r="AW99" s="13">
        <f t="shared" si="51"/>
        <v>7191.9</v>
      </c>
      <c r="AX99" s="13">
        <f t="shared" si="51"/>
        <v>10881.45</v>
      </c>
      <c r="AY99" s="13">
        <f t="shared" si="51"/>
        <v>26707.5</v>
      </c>
      <c r="AZ99" s="13">
        <f t="shared" si="51"/>
        <v>13653.1</v>
      </c>
      <c r="BA99" s="13">
        <f t="shared" si="51"/>
        <v>102585.45</v>
      </c>
      <c r="BB99" s="13">
        <f t="shared" si="51"/>
        <v>22384.95</v>
      </c>
      <c r="BC99" s="13">
        <f t="shared" si="51"/>
        <v>7420.4000000000005</v>
      </c>
      <c r="BD99" s="13">
        <f t="shared" si="51"/>
        <v>19859.8</v>
      </c>
      <c r="BE99" s="13">
        <f t="shared" si="51"/>
        <v>12341.82</v>
      </c>
      <c r="BF99" s="13">
        <f t="shared" si="51"/>
        <v>33783.199999999997</v>
      </c>
      <c r="BG99" s="13">
        <f t="shared" si="51"/>
        <v>4306.3500000000004</v>
      </c>
      <c r="BH99" s="13">
        <f t="shared" si="51"/>
        <v>22370</v>
      </c>
      <c r="BI99" s="13">
        <f t="shared" si="51"/>
        <v>16248.4</v>
      </c>
      <c r="BJ99" s="13">
        <f t="shared" si="51"/>
        <v>3204.8</v>
      </c>
      <c r="BK99" s="13">
        <f t="shared" si="51"/>
        <v>9907.24</v>
      </c>
      <c r="BL99" s="13">
        <f t="shared" si="51"/>
        <v>30406.75</v>
      </c>
      <c r="BM99" s="13">
        <f t="shared" si="51"/>
        <v>7014.71</v>
      </c>
      <c r="BN99" s="13">
        <f t="shared" si="51"/>
        <v>13719</v>
      </c>
      <c r="BO99" s="13">
        <f t="shared" ref="BO99:BZ99" si="52">BO97-BO98</f>
        <v>29558.5</v>
      </c>
      <c r="BP99" s="13">
        <f t="shared" si="52"/>
        <v>30483.15</v>
      </c>
      <c r="BQ99" s="13">
        <f t="shared" si="52"/>
        <v>12910.25</v>
      </c>
      <c r="BR99" s="13">
        <f t="shared" si="52"/>
        <v>101215.45</v>
      </c>
      <c r="BS99" s="13">
        <f t="shared" si="52"/>
        <v>8779.85</v>
      </c>
      <c r="BT99" s="13">
        <f t="shared" si="52"/>
        <v>9798.4500000000007</v>
      </c>
      <c r="BU99" s="13">
        <f t="shared" si="52"/>
        <v>1268.4000000000001</v>
      </c>
      <c r="BV99" s="13">
        <f t="shared" si="52"/>
        <v>7992.5</v>
      </c>
      <c r="BW99" s="13">
        <f t="shared" si="52"/>
        <v>31763.24</v>
      </c>
      <c r="BX99" s="13">
        <f t="shared" si="52"/>
        <v>5595.35</v>
      </c>
      <c r="BY99" s="13">
        <f t="shared" si="52"/>
        <v>12717.14</v>
      </c>
      <c r="BZ99" s="13">
        <f t="shared" si="52"/>
        <v>20116.849999999999</v>
      </c>
    </row>
    <row r="100" spans="1:80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1:80" s="19" customFormat="1" x14ac:dyDescent="0.2">
      <c r="A101" s="23" t="s">
        <v>155</v>
      </c>
      <c r="B101" s="24" t="s">
        <v>2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25"/>
      <c r="CB101" s="23"/>
    </row>
    <row r="102" spans="1:80" x14ac:dyDescent="0.2">
      <c r="B102" t="s">
        <v>81</v>
      </c>
      <c r="C102" s="3">
        <f>SUM(D102:BZ102)</f>
        <v>64401961.040000014</v>
      </c>
      <c r="D102" s="10">
        <v>9757685</v>
      </c>
      <c r="E102" s="10">
        <v>786866</v>
      </c>
      <c r="F102" s="10">
        <v>107067.5</v>
      </c>
      <c r="G102" s="10">
        <v>70239</v>
      </c>
      <c r="H102" s="10">
        <v>603822.6</v>
      </c>
      <c r="I102" s="10">
        <v>1589486.53</v>
      </c>
      <c r="J102" s="10">
        <v>363574.5</v>
      </c>
      <c r="K102" s="10">
        <v>283035.88</v>
      </c>
      <c r="L102" s="10">
        <v>480473.5</v>
      </c>
      <c r="M102" s="10">
        <v>76943.33</v>
      </c>
      <c r="N102" s="10">
        <v>252361.4</v>
      </c>
      <c r="O102" s="10">
        <v>1399283</v>
      </c>
      <c r="P102" s="10">
        <v>1213580.95</v>
      </c>
      <c r="Q102" s="10">
        <v>1519580.1</v>
      </c>
      <c r="R102" s="10">
        <v>426593.5</v>
      </c>
      <c r="S102" s="10">
        <v>2496318.44</v>
      </c>
      <c r="T102" s="10">
        <v>935876.87</v>
      </c>
      <c r="U102" s="10">
        <v>431011.13</v>
      </c>
      <c r="V102" s="10">
        <v>872968.05</v>
      </c>
      <c r="W102" s="10">
        <v>1126628.55</v>
      </c>
      <c r="X102" s="10">
        <v>948373.4</v>
      </c>
      <c r="Y102" s="10">
        <v>754394.95</v>
      </c>
      <c r="Z102" s="10">
        <v>186095.75</v>
      </c>
      <c r="AA102" s="10">
        <v>978296.25</v>
      </c>
      <c r="AB102" s="10">
        <v>176242.95</v>
      </c>
      <c r="AC102" s="10">
        <v>612772.21</v>
      </c>
      <c r="AD102" s="10">
        <v>210477.6</v>
      </c>
      <c r="AE102" s="10">
        <v>682727.25</v>
      </c>
      <c r="AF102" s="10">
        <v>523367.25</v>
      </c>
      <c r="AG102" s="10">
        <v>908985.85</v>
      </c>
      <c r="AH102" s="10">
        <v>1072016.6000000001</v>
      </c>
      <c r="AI102" s="10">
        <v>540529</v>
      </c>
      <c r="AJ102" s="10">
        <v>403969.75</v>
      </c>
      <c r="AK102" s="10">
        <v>273309.55</v>
      </c>
      <c r="AL102" s="10">
        <v>616935.4</v>
      </c>
      <c r="AM102" s="10">
        <v>817600.35</v>
      </c>
      <c r="AN102" s="10">
        <v>117032.05</v>
      </c>
      <c r="AO102" s="10">
        <v>1017207.55</v>
      </c>
      <c r="AP102" s="10">
        <v>586120.1</v>
      </c>
      <c r="AQ102" s="10">
        <v>427020.95</v>
      </c>
      <c r="AR102" s="10">
        <v>525513.80000000005</v>
      </c>
      <c r="AS102" s="10">
        <v>320094.95</v>
      </c>
      <c r="AT102" s="10">
        <v>384148</v>
      </c>
      <c r="AU102" s="10">
        <v>316905.34999999998</v>
      </c>
      <c r="AV102" s="10">
        <v>263721.15000000002</v>
      </c>
      <c r="AW102" s="10">
        <v>381704.25</v>
      </c>
      <c r="AX102" s="10">
        <v>1005066.6</v>
      </c>
      <c r="AY102" s="10">
        <v>735739.25</v>
      </c>
      <c r="AZ102" s="10">
        <v>676402.95</v>
      </c>
      <c r="BA102" s="10">
        <v>3299613.25</v>
      </c>
      <c r="BB102" s="10">
        <v>1534940.85</v>
      </c>
      <c r="BC102" s="10">
        <v>478772.8</v>
      </c>
      <c r="BD102" s="10">
        <v>458207.4</v>
      </c>
      <c r="BE102" s="10">
        <v>505987.45</v>
      </c>
      <c r="BF102" s="10">
        <v>786684.55</v>
      </c>
      <c r="BG102" s="10">
        <v>256596</v>
      </c>
      <c r="BH102" s="10">
        <v>760993.06</v>
      </c>
      <c r="BI102" s="10">
        <v>759097.05</v>
      </c>
      <c r="BJ102" s="10">
        <v>295190.21000000002</v>
      </c>
      <c r="BK102" s="10">
        <v>158356.5</v>
      </c>
      <c r="BL102" s="10">
        <v>1208003.6499999999</v>
      </c>
      <c r="BM102" s="10">
        <v>406374.63</v>
      </c>
      <c r="BN102" s="10">
        <v>944996.3</v>
      </c>
      <c r="BO102" s="10">
        <v>1797239.25</v>
      </c>
      <c r="BP102" s="10">
        <v>889151.85</v>
      </c>
      <c r="BQ102" s="10">
        <v>343061.2</v>
      </c>
      <c r="BR102" s="10">
        <v>2543488</v>
      </c>
      <c r="BS102" s="10">
        <v>843476.95</v>
      </c>
      <c r="BT102" s="10">
        <v>361093.25</v>
      </c>
      <c r="BU102" s="10">
        <v>140355.29999999999</v>
      </c>
      <c r="BV102" s="10">
        <v>313785.84999999998</v>
      </c>
      <c r="BW102" s="10">
        <v>2170204.9500000002</v>
      </c>
      <c r="BX102" s="10">
        <v>178326</v>
      </c>
      <c r="BY102" s="10">
        <v>300883.3</v>
      </c>
      <c r="BZ102" s="10">
        <v>1410914.55</v>
      </c>
      <c r="CB102" t="s">
        <v>108</v>
      </c>
    </row>
    <row r="103" spans="1:80" x14ac:dyDescent="0.2">
      <c r="B103" t="s">
        <v>82</v>
      </c>
      <c r="C103" s="3">
        <f>SUM(D103:BZ103)</f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v>0</v>
      </c>
      <c r="AV103" s="10">
        <v>0</v>
      </c>
      <c r="AW103" s="10">
        <v>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  <c r="BG103" s="10">
        <v>0</v>
      </c>
      <c r="BH103" s="10">
        <v>0</v>
      </c>
      <c r="BI103" s="10">
        <v>0</v>
      </c>
      <c r="BJ103" s="10">
        <v>0</v>
      </c>
      <c r="BK103" s="10">
        <v>0</v>
      </c>
      <c r="BL103" s="10">
        <v>0</v>
      </c>
      <c r="BM103" s="10">
        <v>0</v>
      </c>
      <c r="BN103" s="10">
        <v>0</v>
      </c>
      <c r="BO103" s="10">
        <v>0</v>
      </c>
      <c r="BP103" s="10">
        <v>0</v>
      </c>
      <c r="BQ103" s="10">
        <v>0</v>
      </c>
      <c r="BR103" s="10">
        <v>0</v>
      </c>
      <c r="BS103" s="10">
        <v>0</v>
      </c>
      <c r="BT103" s="10">
        <v>0</v>
      </c>
      <c r="BU103" s="10">
        <v>0</v>
      </c>
      <c r="BV103" s="10">
        <v>0</v>
      </c>
      <c r="BW103" s="10">
        <v>0</v>
      </c>
      <c r="BX103" s="10">
        <v>0</v>
      </c>
      <c r="BY103" s="10">
        <v>0</v>
      </c>
      <c r="BZ103" s="10">
        <v>0</v>
      </c>
      <c r="CB103" t="s">
        <v>108</v>
      </c>
    </row>
    <row r="104" spans="1:80" s="19" customFormat="1" x14ac:dyDescent="0.2">
      <c r="B104" s="19" t="s">
        <v>90</v>
      </c>
      <c r="C104" s="13">
        <f>SUM(D104:BZ104)</f>
        <v>64401961.040000014</v>
      </c>
      <c r="D104" s="13">
        <f>D102-D103</f>
        <v>9757685</v>
      </c>
      <c r="E104" s="13">
        <f t="shared" ref="E104:BN104" si="53">E102-E103</f>
        <v>786866</v>
      </c>
      <c r="F104" s="13">
        <f t="shared" si="53"/>
        <v>107067.5</v>
      </c>
      <c r="G104" s="13">
        <f t="shared" si="53"/>
        <v>70239</v>
      </c>
      <c r="H104" s="13">
        <f t="shared" si="53"/>
        <v>603822.6</v>
      </c>
      <c r="I104" s="13">
        <f t="shared" si="53"/>
        <v>1589486.53</v>
      </c>
      <c r="J104" s="13">
        <f t="shared" si="53"/>
        <v>363574.5</v>
      </c>
      <c r="K104" s="13">
        <f t="shared" si="53"/>
        <v>283035.88</v>
      </c>
      <c r="L104" s="13">
        <f t="shared" si="53"/>
        <v>480473.5</v>
      </c>
      <c r="M104" s="13">
        <f t="shared" si="53"/>
        <v>76943.33</v>
      </c>
      <c r="N104" s="13">
        <f t="shared" si="53"/>
        <v>252361.4</v>
      </c>
      <c r="O104" s="13">
        <f t="shared" si="53"/>
        <v>1399283</v>
      </c>
      <c r="P104" s="13">
        <f t="shared" si="53"/>
        <v>1213580.95</v>
      </c>
      <c r="Q104" s="13">
        <f t="shared" si="53"/>
        <v>1519580.1</v>
      </c>
      <c r="R104" s="13">
        <f t="shared" si="53"/>
        <v>426593.5</v>
      </c>
      <c r="S104" s="13">
        <f t="shared" si="53"/>
        <v>2496318.44</v>
      </c>
      <c r="T104" s="13">
        <f t="shared" si="53"/>
        <v>935876.87</v>
      </c>
      <c r="U104" s="13">
        <f t="shared" si="53"/>
        <v>431011.13</v>
      </c>
      <c r="V104" s="13">
        <f t="shared" si="53"/>
        <v>872968.05</v>
      </c>
      <c r="W104" s="13">
        <f t="shared" si="53"/>
        <v>1126628.55</v>
      </c>
      <c r="X104" s="13">
        <f t="shared" si="53"/>
        <v>948373.4</v>
      </c>
      <c r="Y104" s="13">
        <f t="shared" si="53"/>
        <v>754394.95</v>
      </c>
      <c r="Z104" s="13">
        <f t="shared" si="53"/>
        <v>186095.75</v>
      </c>
      <c r="AA104" s="13">
        <f t="shared" si="53"/>
        <v>978296.25</v>
      </c>
      <c r="AB104" s="13">
        <f t="shared" si="53"/>
        <v>176242.95</v>
      </c>
      <c r="AC104" s="13">
        <f t="shared" si="53"/>
        <v>612772.21</v>
      </c>
      <c r="AD104" s="13">
        <f t="shared" si="53"/>
        <v>210477.6</v>
      </c>
      <c r="AE104" s="13">
        <f t="shared" si="53"/>
        <v>682727.25</v>
      </c>
      <c r="AF104" s="13">
        <f t="shared" si="53"/>
        <v>523367.25</v>
      </c>
      <c r="AG104" s="13">
        <f t="shared" si="53"/>
        <v>908985.85</v>
      </c>
      <c r="AH104" s="13">
        <f t="shared" si="53"/>
        <v>1072016.6000000001</v>
      </c>
      <c r="AI104" s="13">
        <f t="shared" si="53"/>
        <v>540529</v>
      </c>
      <c r="AJ104" s="13">
        <f t="shared" si="53"/>
        <v>403969.75</v>
      </c>
      <c r="AK104" s="13">
        <f t="shared" si="53"/>
        <v>273309.55</v>
      </c>
      <c r="AL104" s="13">
        <f t="shared" si="53"/>
        <v>616935.4</v>
      </c>
      <c r="AM104" s="13">
        <f t="shared" si="53"/>
        <v>817600.35</v>
      </c>
      <c r="AN104" s="13">
        <f t="shared" si="53"/>
        <v>117032.05</v>
      </c>
      <c r="AO104" s="13">
        <f t="shared" si="53"/>
        <v>1017207.55</v>
      </c>
      <c r="AP104" s="13">
        <f t="shared" si="53"/>
        <v>586120.1</v>
      </c>
      <c r="AQ104" s="13">
        <f t="shared" si="53"/>
        <v>427020.95</v>
      </c>
      <c r="AR104" s="13">
        <f t="shared" si="53"/>
        <v>525513.80000000005</v>
      </c>
      <c r="AS104" s="13">
        <f t="shared" si="53"/>
        <v>320094.95</v>
      </c>
      <c r="AT104" s="13">
        <f t="shared" si="53"/>
        <v>384148</v>
      </c>
      <c r="AU104" s="13">
        <f t="shared" si="53"/>
        <v>316905.34999999998</v>
      </c>
      <c r="AV104" s="13">
        <f t="shared" si="53"/>
        <v>263721.15000000002</v>
      </c>
      <c r="AW104" s="13">
        <f t="shared" si="53"/>
        <v>381704.25</v>
      </c>
      <c r="AX104" s="13">
        <f t="shared" si="53"/>
        <v>1005066.6</v>
      </c>
      <c r="AY104" s="13">
        <f t="shared" si="53"/>
        <v>735739.25</v>
      </c>
      <c r="AZ104" s="13">
        <f t="shared" si="53"/>
        <v>676402.95</v>
      </c>
      <c r="BA104" s="13">
        <f t="shared" si="53"/>
        <v>3299613.25</v>
      </c>
      <c r="BB104" s="13">
        <f t="shared" si="53"/>
        <v>1534940.85</v>
      </c>
      <c r="BC104" s="13">
        <f t="shared" si="53"/>
        <v>478772.8</v>
      </c>
      <c r="BD104" s="13">
        <f t="shared" si="53"/>
        <v>458207.4</v>
      </c>
      <c r="BE104" s="13">
        <f t="shared" si="53"/>
        <v>505987.45</v>
      </c>
      <c r="BF104" s="13">
        <f t="shared" si="53"/>
        <v>786684.55</v>
      </c>
      <c r="BG104" s="13">
        <f t="shared" si="53"/>
        <v>256596</v>
      </c>
      <c r="BH104" s="13">
        <f t="shared" si="53"/>
        <v>760993.06</v>
      </c>
      <c r="BI104" s="13">
        <f t="shared" si="53"/>
        <v>759097.05</v>
      </c>
      <c r="BJ104" s="13">
        <f t="shared" si="53"/>
        <v>295190.21000000002</v>
      </c>
      <c r="BK104" s="13">
        <f t="shared" si="53"/>
        <v>158356.5</v>
      </c>
      <c r="BL104" s="13">
        <f t="shared" si="53"/>
        <v>1208003.6499999999</v>
      </c>
      <c r="BM104" s="13">
        <f t="shared" si="53"/>
        <v>406374.63</v>
      </c>
      <c r="BN104" s="13">
        <f t="shared" si="53"/>
        <v>944996.3</v>
      </c>
      <c r="BO104" s="13">
        <f t="shared" ref="BO104:BZ104" si="54">BO102-BO103</f>
        <v>1797239.25</v>
      </c>
      <c r="BP104" s="13">
        <f t="shared" si="54"/>
        <v>889151.85</v>
      </c>
      <c r="BQ104" s="13">
        <f t="shared" si="54"/>
        <v>343061.2</v>
      </c>
      <c r="BR104" s="13">
        <f t="shared" si="54"/>
        <v>2543488</v>
      </c>
      <c r="BS104" s="13">
        <f t="shared" si="54"/>
        <v>843476.95</v>
      </c>
      <c r="BT104" s="13">
        <f t="shared" si="54"/>
        <v>361093.25</v>
      </c>
      <c r="BU104" s="13">
        <f t="shared" si="54"/>
        <v>140355.29999999999</v>
      </c>
      <c r="BV104" s="13">
        <f t="shared" si="54"/>
        <v>313785.84999999998</v>
      </c>
      <c r="BW104" s="13">
        <f t="shared" si="54"/>
        <v>2170204.9500000002</v>
      </c>
      <c r="BX104" s="13">
        <f t="shared" si="54"/>
        <v>178326</v>
      </c>
      <c r="BY104" s="13">
        <f t="shared" si="54"/>
        <v>300883.3</v>
      </c>
      <c r="BZ104" s="13">
        <f t="shared" si="54"/>
        <v>1410914.55</v>
      </c>
    </row>
    <row r="105" spans="1:80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</row>
    <row r="106" spans="1:80" s="19" customFormat="1" x14ac:dyDescent="0.2">
      <c r="A106" s="23" t="s">
        <v>156</v>
      </c>
      <c r="B106" s="24" t="s">
        <v>3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25"/>
      <c r="CB106" s="23"/>
    </row>
    <row r="107" spans="1:80" x14ac:dyDescent="0.2">
      <c r="B107" t="s">
        <v>81</v>
      </c>
      <c r="C107" s="3">
        <f>SUM(D107:BZ107)</f>
        <v>99175891.799999997</v>
      </c>
      <c r="D107" s="7">
        <v>13596151</v>
      </c>
      <c r="E107" s="7">
        <v>1881726</v>
      </c>
      <c r="F107" s="7">
        <v>53156.800000000003</v>
      </c>
      <c r="G107" s="7">
        <v>64589.4</v>
      </c>
      <c r="H107" s="7">
        <v>1799437.35</v>
      </c>
      <c r="I107" s="7">
        <v>2188628.9500000002</v>
      </c>
      <c r="J107" s="7">
        <v>490089.7</v>
      </c>
      <c r="K107" s="7">
        <v>525105.69999999995</v>
      </c>
      <c r="L107" s="7">
        <v>228338.1</v>
      </c>
      <c r="M107" s="7">
        <v>154164.5</v>
      </c>
      <c r="N107" s="7">
        <v>331341.09999999998</v>
      </c>
      <c r="O107" s="7">
        <v>2521587.65</v>
      </c>
      <c r="P107" s="7">
        <v>2743566.6</v>
      </c>
      <c r="Q107" s="7">
        <v>1786321.8</v>
      </c>
      <c r="R107" s="7">
        <v>476803.05</v>
      </c>
      <c r="S107" s="7">
        <v>2042780.4</v>
      </c>
      <c r="T107" s="7">
        <v>2670708.4</v>
      </c>
      <c r="U107" s="7">
        <v>938665.15</v>
      </c>
      <c r="V107" s="7">
        <v>630576.1</v>
      </c>
      <c r="W107" s="7">
        <v>1376880.65</v>
      </c>
      <c r="X107" s="7">
        <v>1939228.4</v>
      </c>
      <c r="Y107" s="7">
        <v>991707.45</v>
      </c>
      <c r="Z107" s="7">
        <v>424399.6</v>
      </c>
      <c r="AA107" s="7">
        <v>3346543.55</v>
      </c>
      <c r="AB107" s="7">
        <v>446742.45</v>
      </c>
      <c r="AC107" s="7">
        <v>1969347.2</v>
      </c>
      <c r="AD107" s="7">
        <v>323070.84999999998</v>
      </c>
      <c r="AE107" s="7">
        <v>1154107</v>
      </c>
      <c r="AF107" s="7">
        <v>863651.55</v>
      </c>
      <c r="AG107" s="7">
        <v>947077</v>
      </c>
      <c r="AH107" s="7">
        <v>2381285.35</v>
      </c>
      <c r="AI107" s="7">
        <v>1270727.1499999999</v>
      </c>
      <c r="AJ107" s="7">
        <v>546994</v>
      </c>
      <c r="AK107" s="7">
        <v>-11345.45</v>
      </c>
      <c r="AL107" s="7">
        <v>655392.69999999995</v>
      </c>
      <c r="AM107" s="7">
        <v>1124026.45</v>
      </c>
      <c r="AN107" s="7">
        <v>96446.25</v>
      </c>
      <c r="AO107" s="7">
        <v>855552.65</v>
      </c>
      <c r="AP107" s="7">
        <v>1018201</v>
      </c>
      <c r="AQ107" s="7">
        <v>698398.5</v>
      </c>
      <c r="AR107" s="7">
        <v>840834.5</v>
      </c>
      <c r="AS107" s="7">
        <v>591625.4</v>
      </c>
      <c r="AT107" s="7">
        <v>283981.84999999998</v>
      </c>
      <c r="AU107" s="7">
        <v>565101.69999999995</v>
      </c>
      <c r="AV107" s="7">
        <v>510141.7</v>
      </c>
      <c r="AW107" s="7">
        <v>460602.35</v>
      </c>
      <c r="AX107" s="7">
        <v>1957048.6</v>
      </c>
      <c r="AY107" s="7">
        <v>925459.3</v>
      </c>
      <c r="AZ107" s="7">
        <v>1016971</v>
      </c>
      <c r="BA107" s="7">
        <v>6687754.8499999996</v>
      </c>
      <c r="BB107" s="7">
        <v>1877787.25</v>
      </c>
      <c r="BC107" s="7">
        <v>760420.8</v>
      </c>
      <c r="BD107" s="7">
        <v>380017.05</v>
      </c>
      <c r="BE107" s="7">
        <v>765289</v>
      </c>
      <c r="BF107" s="7">
        <v>994742.9</v>
      </c>
      <c r="BG107" s="7">
        <v>128838.45</v>
      </c>
      <c r="BH107" s="7">
        <v>1498991.4</v>
      </c>
      <c r="BI107" s="7">
        <v>664548.5</v>
      </c>
      <c r="BJ107" s="7">
        <v>251848.6</v>
      </c>
      <c r="BK107" s="7">
        <v>185190.1</v>
      </c>
      <c r="BL107" s="7">
        <v>1945619.75</v>
      </c>
      <c r="BM107" s="7">
        <v>696468.9</v>
      </c>
      <c r="BN107" s="7">
        <v>766618.75</v>
      </c>
      <c r="BO107" s="7">
        <v>2947426.6</v>
      </c>
      <c r="BP107" s="7">
        <v>665969.80000000005</v>
      </c>
      <c r="BQ107" s="7">
        <v>405335.5</v>
      </c>
      <c r="BR107" s="7">
        <v>4023530.1</v>
      </c>
      <c r="BS107" s="7">
        <v>865661.7</v>
      </c>
      <c r="BT107" s="7">
        <v>928497.25</v>
      </c>
      <c r="BU107" s="7">
        <v>233324.7</v>
      </c>
      <c r="BV107" s="7">
        <v>476330.85</v>
      </c>
      <c r="BW107" s="7">
        <v>3331091.2</v>
      </c>
      <c r="BX107" s="7">
        <v>480755.05</v>
      </c>
      <c r="BY107" s="7">
        <v>447847.6</v>
      </c>
      <c r="BZ107" s="7">
        <v>2072046.7</v>
      </c>
      <c r="CB107" t="s">
        <v>107</v>
      </c>
    </row>
    <row r="108" spans="1:80" x14ac:dyDescent="0.2">
      <c r="B108" t="s">
        <v>86</v>
      </c>
      <c r="C108" s="3">
        <f>SUM(D108:BZ108)</f>
        <v>13515.499999999995</v>
      </c>
      <c r="D108" s="7">
        <v>46.7</v>
      </c>
      <c r="E108" s="7">
        <v>0.45</v>
      </c>
      <c r="F108" s="7">
        <v>0</v>
      </c>
      <c r="G108" s="7">
        <v>16.149999999999999</v>
      </c>
      <c r="H108" s="7">
        <v>0</v>
      </c>
      <c r="I108" s="7">
        <v>1.45</v>
      </c>
      <c r="J108" s="7">
        <v>10.25</v>
      </c>
      <c r="K108" s="7">
        <v>0</v>
      </c>
      <c r="L108" s="7">
        <v>1.5</v>
      </c>
      <c r="M108" s="7">
        <v>0</v>
      </c>
      <c r="N108" s="7">
        <v>0</v>
      </c>
      <c r="O108" s="7">
        <v>3.25</v>
      </c>
      <c r="P108" s="7">
        <v>5.25</v>
      </c>
      <c r="Q108" s="7">
        <v>36.15</v>
      </c>
      <c r="R108" s="7">
        <v>357.55</v>
      </c>
      <c r="S108" s="7">
        <v>24.15</v>
      </c>
      <c r="T108" s="7">
        <v>25.2</v>
      </c>
      <c r="U108" s="7">
        <v>3.05</v>
      </c>
      <c r="V108" s="7">
        <v>13.15</v>
      </c>
      <c r="W108" s="7">
        <v>1</v>
      </c>
      <c r="X108" s="7">
        <v>35.4</v>
      </c>
      <c r="Y108" s="7">
        <v>0</v>
      </c>
      <c r="Z108" s="7">
        <v>8.65</v>
      </c>
      <c r="AA108" s="7">
        <v>-38.65</v>
      </c>
      <c r="AB108" s="7">
        <v>9.15</v>
      </c>
      <c r="AC108" s="7">
        <v>3.85</v>
      </c>
      <c r="AD108" s="7">
        <v>6.95</v>
      </c>
      <c r="AE108" s="7">
        <v>14.3</v>
      </c>
      <c r="AF108" s="7">
        <v>0.35</v>
      </c>
      <c r="AG108" s="7">
        <v>14.95</v>
      </c>
      <c r="AH108" s="7">
        <v>18.899999999999999</v>
      </c>
      <c r="AI108" s="7">
        <v>3.5</v>
      </c>
      <c r="AJ108" s="7">
        <v>0</v>
      </c>
      <c r="AK108" s="7">
        <v>39.200000000000003</v>
      </c>
      <c r="AL108" s="7">
        <v>33.75</v>
      </c>
      <c r="AM108" s="7">
        <v>20.7</v>
      </c>
      <c r="AN108" s="7">
        <v>2.35</v>
      </c>
      <c r="AO108" s="7">
        <v>39.049999999999997</v>
      </c>
      <c r="AP108" s="7">
        <v>37.950000000000003</v>
      </c>
      <c r="AQ108" s="7">
        <v>14.45</v>
      </c>
      <c r="AR108" s="7">
        <v>4.3499999999999996</v>
      </c>
      <c r="AS108" s="7">
        <v>4.5</v>
      </c>
      <c r="AT108" s="7">
        <v>0</v>
      </c>
      <c r="AU108" s="7">
        <v>2.85</v>
      </c>
      <c r="AV108" s="7">
        <v>0</v>
      </c>
      <c r="AW108" s="7">
        <v>0</v>
      </c>
      <c r="AX108" s="7">
        <v>13.6</v>
      </c>
      <c r="AY108" s="7">
        <v>0.3</v>
      </c>
      <c r="AZ108" s="7">
        <v>22.85</v>
      </c>
      <c r="BA108" s="7">
        <v>4912.7999999999993</v>
      </c>
      <c r="BB108" s="7">
        <v>384.70000000000005</v>
      </c>
      <c r="BC108" s="7">
        <v>27.4</v>
      </c>
      <c r="BD108" s="7">
        <v>19.600000000000001</v>
      </c>
      <c r="BE108" s="7">
        <v>7091.6</v>
      </c>
      <c r="BF108" s="7">
        <v>28.35</v>
      </c>
      <c r="BG108" s="7">
        <v>13.3</v>
      </c>
      <c r="BH108" s="7">
        <v>15.65</v>
      </c>
      <c r="BI108" s="7">
        <v>8.9499999999999993</v>
      </c>
      <c r="BJ108" s="7">
        <v>19.399999999999999</v>
      </c>
      <c r="BK108" s="7">
        <v>0</v>
      </c>
      <c r="BL108" s="7">
        <v>19.899999999999999</v>
      </c>
      <c r="BM108" s="7">
        <v>0</v>
      </c>
      <c r="BN108" s="7">
        <v>4</v>
      </c>
      <c r="BO108" s="7">
        <v>11.05</v>
      </c>
      <c r="BP108" s="7">
        <v>1.45</v>
      </c>
      <c r="BQ108" s="7">
        <v>0</v>
      </c>
      <c r="BR108" s="7">
        <v>16.549999999999997</v>
      </c>
      <c r="BS108" s="7">
        <v>0.05</v>
      </c>
      <c r="BT108" s="7">
        <v>0</v>
      </c>
      <c r="BU108" s="7">
        <v>0</v>
      </c>
      <c r="BV108" s="7">
        <v>9.9</v>
      </c>
      <c r="BW108" s="7">
        <v>63.4</v>
      </c>
      <c r="BX108" s="7">
        <v>0</v>
      </c>
      <c r="BY108" s="7">
        <v>3.4</v>
      </c>
      <c r="BZ108" s="7">
        <v>5.55</v>
      </c>
      <c r="CB108" t="s">
        <v>107</v>
      </c>
    </row>
    <row r="109" spans="1:80" s="19" customFormat="1" x14ac:dyDescent="0.2">
      <c r="B109" s="19" t="s">
        <v>90</v>
      </c>
      <c r="C109" s="13">
        <f>SUM(D109:BZ109)</f>
        <v>99162376.300000027</v>
      </c>
      <c r="D109" s="13">
        <f>D107-D108</f>
        <v>13596104.300000001</v>
      </c>
      <c r="E109" s="13">
        <f t="shared" ref="E109:BN109" si="55">E107-E108</f>
        <v>1881725.55</v>
      </c>
      <c r="F109" s="13">
        <f t="shared" si="55"/>
        <v>53156.800000000003</v>
      </c>
      <c r="G109" s="13">
        <f t="shared" si="55"/>
        <v>64573.25</v>
      </c>
      <c r="H109" s="13">
        <f t="shared" si="55"/>
        <v>1799437.35</v>
      </c>
      <c r="I109" s="13">
        <f t="shared" si="55"/>
        <v>2188627.5</v>
      </c>
      <c r="J109" s="13">
        <f t="shared" si="55"/>
        <v>490079.45</v>
      </c>
      <c r="K109" s="13">
        <f t="shared" si="55"/>
        <v>525105.69999999995</v>
      </c>
      <c r="L109" s="13">
        <f t="shared" si="55"/>
        <v>228336.6</v>
      </c>
      <c r="M109" s="13">
        <f t="shared" si="55"/>
        <v>154164.5</v>
      </c>
      <c r="N109" s="13">
        <f t="shared" si="55"/>
        <v>331341.09999999998</v>
      </c>
      <c r="O109" s="13">
        <f t="shared" si="55"/>
        <v>2521584.4</v>
      </c>
      <c r="P109" s="13">
        <f t="shared" si="55"/>
        <v>2743561.35</v>
      </c>
      <c r="Q109" s="13">
        <f t="shared" si="55"/>
        <v>1786285.6500000001</v>
      </c>
      <c r="R109" s="13">
        <f t="shared" si="55"/>
        <v>476445.5</v>
      </c>
      <c r="S109" s="13">
        <f t="shared" si="55"/>
        <v>2042756.25</v>
      </c>
      <c r="T109" s="13">
        <f t="shared" si="55"/>
        <v>2670683.1999999997</v>
      </c>
      <c r="U109" s="13">
        <f t="shared" si="55"/>
        <v>938662.1</v>
      </c>
      <c r="V109" s="13">
        <f t="shared" si="55"/>
        <v>630562.94999999995</v>
      </c>
      <c r="W109" s="13">
        <f t="shared" si="55"/>
        <v>1376879.65</v>
      </c>
      <c r="X109" s="13">
        <f t="shared" si="55"/>
        <v>1939193</v>
      </c>
      <c r="Y109" s="13">
        <f t="shared" si="55"/>
        <v>991707.45</v>
      </c>
      <c r="Z109" s="13">
        <f t="shared" si="55"/>
        <v>424390.94999999995</v>
      </c>
      <c r="AA109" s="13">
        <f t="shared" si="55"/>
        <v>3346582.1999999997</v>
      </c>
      <c r="AB109" s="13">
        <f t="shared" si="55"/>
        <v>446733.3</v>
      </c>
      <c r="AC109" s="13">
        <f t="shared" si="55"/>
        <v>1969343.3499999999</v>
      </c>
      <c r="AD109" s="13">
        <f t="shared" si="55"/>
        <v>323063.89999999997</v>
      </c>
      <c r="AE109" s="13">
        <f t="shared" si="55"/>
        <v>1154092.7</v>
      </c>
      <c r="AF109" s="13">
        <f t="shared" si="55"/>
        <v>863651.20000000007</v>
      </c>
      <c r="AG109" s="13">
        <f t="shared" si="55"/>
        <v>947062.05</v>
      </c>
      <c r="AH109" s="13">
        <f t="shared" si="55"/>
        <v>2381266.4500000002</v>
      </c>
      <c r="AI109" s="13">
        <f t="shared" si="55"/>
        <v>1270723.6499999999</v>
      </c>
      <c r="AJ109" s="13">
        <f t="shared" si="55"/>
        <v>546994</v>
      </c>
      <c r="AK109" s="13">
        <f t="shared" si="55"/>
        <v>-11384.650000000001</v>
      </c>
      <c r="AL109" s="13">
        <f t="shared" si="55"/>
        <v>655358.94999999995</v>
      </c>
      <c r="AM109" s="13">
        <f t="shared" si="55"/>
        <v>1124005.75</v>
      </c>
      <c r="AN109" s="13">
        <f t="shared" si="55"/>
        <v>96443.9</v>
      </c>
      <c r="AO109" s="13">
        <f t="shared" si="55"/>
        <v>855513.59999999998</v>
      </c>
      <c r="AP109" s="13">
        <f t="shared" si="55"/>
        <v>1018163.05</v>
      </c>
      <c r="AQ109" s="13">
        <f t="shared" si="55"/>
        <v>698384.05</v>
      </c>
      <c r="AR109" s="13">
        <f t="shared" si="55"/>
        <v>840830.15</v>
      </c>
      <c r="AS109" s="13">
        <f t="shared" si="55"/>
        <v>591620.9</v>
      </c>
      <c r="AT109" s="13">
        <f t="shared" si="55"/>
        <v>283981.84999999998</v>
      </c>
      <c r="AU109" s="13">
        <f t="shared" si="55"/>
        <v>565098.85</v>
      </c>
      <c r="AV109" s="13">
        <f t="shared" si="55"/>
        <v>510141.7</v>
      </c>
      <c r="AW109" s="13">
        <f t="shared" si="55"/>
        <v>460602.35</v>
      </c>
      <c r="AX109" s="13">
        <f t="shared" si="55"/>
        <v>1957035</v>
      </c>
      <c r="AY109" s="13">
        <f t="shared" si="55"/>
        <v>925459</v>
      </c>
      <c r="AZ109" s="13">
        <f t="shared" si="55"/>
        <v>1016948.15</v>
      </c>
      <c r="BA109" s="13">
        <f t="shared" si="55"/>
        <v>6682842.0499999998</v>
      </c>
      <c r="BB109" s="13">
        <f t="shared" si="55"/>
        <v>1877402.55</v>
      </c>
      <c r="BC109" s="13">
        <f t="shared" si="55"/>
        <v>760393.4</v>
      </c>
      <c r="BD109" s="13">
        <f t="shared" si="55"/>
        <v>379997.45</v>
      </c>
      <c r="BE109" s="13">
        <f t="shared" si="55"/>
        <v>758197.4</v>
      </c>
      <c r="BF109" s="13">
        <f t="shared" si="55"/>
        <v>994714.55</v>
      </c>
      <c r="BG109" s="13">
        <f t="shared" si="55"/>
        <v>128825.15</v>
      </c>
      <c r="BH109" s="13">
        <f t="shared" si="55"/>
        <v>1498975.75</v>
      </c>
      <c r="BI109" s="13">
        <f t="shared" si="55"/>
        <v>664539.55000000005</v>
      </c>
      <c r="BJ109" s="13">
        <f t="shared" si="55"/>
        <v>251829.2</v>
      </c>
      <c r="BK109" s="13">
        <f t="shared" si="55"/>
        <v>185190.1</v>
      </c>
      <c r="BL109" s="13">
        <f t="shared" si="55"/>
        <v>1945599.85</v>
      </c>
      <c r="BM109" s="13">
        <f t="shared" si="55"/>
        <v>696468.9</v>
      </c>
      <c r="BN109" s="13">
        <f t="shared" si="55"/>
        <v>766614.75</v>
      </c>
      <c r="BO109" s="13">
        <f t="shared" ref="BO109:BZ109" si="56">BO107-BO108</f>
        <v>2947415.5500000003</v>
      </c>
      <c r="BP109" s="13">
        <f t="shared" si="56"/>
        <v>665968.35000000009</v>
      </c>
      <c r="BQ109" s="13">
        <f t="shared" si="56"/>
        <v>405335.5</v>
      </c>
      <c r="BR109" s="13">
        <f t="shared" si="56"/>
        <v>4023513.5500000003</v>
      </c>
      <c r="BS109" s="13">
        <f t="shared" si="56"/>
        <v>865661.64999999991</v>
      </c>
      <c r="BT109" s="13">
        <f t="shared" si="56"/>
        <v>928497.25</v>
      </c>
      <c r="BU109" s="13">
        <f t="shared" si="56"/>
        <v>233324.7</v>
      </c>
      <c r="BV109" s="13">
        <f t="shared" si="56"/>
        <v>476320.94999999995</v>
      </c>
      <c r="BW109" s="13">
        <f t="shared" si="56"/>
        <v>3331027.8000000003</v>
      </c>
      <c r="BX109" s="13">
        <f t="shared" si="56"/>
        <v>480755.05</v>
      </c>
      <c r="BY109" s="13">
        <f t="shared" si="56"/>
        <v>447844.19999999995</v>
      </c>
      <c r="BZ109" s="13">
        <f t="shared" si="56"/>
        <v>2072041.15</v>
      </c>
    </row>
    <row r="110" spans="1:80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</row>
    <row r="111" spans="1:80" x14ac:dyDescent="0.2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</row>
    <row r="112" spans="1:80" s="41" customFormat="1" ht="15.75" x14ac:dyDescent="0.25">
      <c r="A112" s="20" t="s">
        <v>99</v>
      </c>
      <c r="B112" s="20" t="s">
        <v>93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20"/>
      <c r="CB112" s="20"/>
    </row>
    <row r="113" spans="1:80" x14ac:dyDescent="0.2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</row>
    <row r="114" spans="1:80" x14ac:dyDescent="0.2">
      <c r="A114" s="23" t="s">
        <v>157</v>
      </c>
      <c r="B114" s="25" t="s">
        <v>230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23"/>
      <c r="CB114" s="23"/>
    </row>
    <row r="115" spans="1:80" x14ac:dyDescent="0.2">
      <c r="B115" t="s">
        <v>4</v>
      </c>
      <c r="C115" s="3">
        <f t="shared" ref="C115:AH115" si="57">C21</f>
        <v>1333491487.5416548</v>
      </c>
      <c r="D115" s="3">
        <f t="shared" si="57"/>
        <v>199173361.02881616</v>
      </c>
      <c r="E115" s="3">
        <f t="shared" si="57"/>
        <v>21517889.418415431</v>
      </c>
      <c r="F115" s="3">
        <f t="shared" si="57"/>
        <v>3293910.3596002422</v>
      </c>
      <c r="G115" s="3">
        <f t="shared" si="57"/>
        <v>2721838.0358735914</v>
      </c>
      <c r="H115" s="3">
        <f t="shared" si="57"/>
        <v>20358251.62938083</v>
      </c>
      <c r="I115" s="3">
        <f t="shared" si="57"/>
        <v>25747442.581227154</v>
      </c>
      <c r="J115" s="3">
        <f t="shared" si="57"/>
        <v>8696764.8630281352</v>
      </c>
      <c r="K115" s="3">
        <f t="shared" si="57"/>
        <v>2951301.7479932955</v>
      </c>
      <c r="L115" s="3">
        <f t="shared" si="57"/>
        <v>5650694.8450162029</v>
      </c>
      <c r="M115" s="3">
        <f t="shared" si="57"/>
        <v>2881910.3464770452</v>
      </c>
      <c r="N115" s="3">
        <f t="shared" si="57"/>
        <v>6362915.1721743299</v>
      </c>
      <c r="O115" s="3">
        <f t="shared" si="57"/>
        <v>21958704.959439412</v>
      </c>
      <c r="P115" s="3">
        <f t="shared" si="57"/>
        <v>16740687.541154969</v>
      </c>
      <c r="Q115" s="3">
        <f t="shared" si="57"/>
        <v>19948984.719819907</v>
      </c>
      <c r="R115" s="3">
        <f t="shared" si="57"/>
        <v>6834996.9624708472</v>
      </c>
      <c r="S115" s="3">
        <f t="shared" si="57"/>
        <v>10508612.028493192</v>
      </c>
      <c r="T115" s="3">
        <f t="shared" si="57"/>
        <v>20707521.894161426</v>
      </c>
      <c r="U115" s="3">
        <f t="shared" si="57"/>
        <v>12158326.418635724</v>
      </c>
      <c r="V115" s="3">
        <f t="shared" si="57"/>
        <v>17867685.987735752</v>
      </c>
      <c r="W115" s="3">
        <f t="shared" si="57"/>
        <v>17009210.442082621</v>
      </c>
      <c r="X115" s="3">
        <f t="shared" si="57"/>
        <v>25800821.738483295</v>
      </c>
      <c r="Y115" s="3">
        <f t="shared" si="57"/>
        <v>12338065.273596955</v>
      </c>
      <c r="Z115" s="3">
        <f t="shared" si="57"/>
        <v>5240944.8567408575</v>
      </c>
      <c r="AA115" s="3">
        <f t="shared" si="57"/>
        <v>28151615.81094994</v>
      </c>
      <c r="AB115" s="3">
        <f t="shared" si="57"/>
        <v>3477194.2766201147</v>
      </c>
      <c r="AC115" s="3">
        <f t="shared" si="57"/>
        <v>21166544.806011509</v>
      </c>
      <c r="AD115" s="3">
        <f t="shared" si="57"/>
        <v>5084630.1266549155</v>
      </c>
      <c r="AE115" s="3">
        <f t="shared" si="57"/>
        <v>14423214.487780914</v>
      </c>
      <c r="AF115" s="3">
        <f t="shared" si="57"/>
        <v>8157782.6960986862</v>
      </c>
      <c r="AG115" s="3">
        <f t="shared" si="57"/>
        <v>16723100.551117893</v>
      </c>
      <c r="AH115" s="3">
        <f t="shared" si="57"/>
        <v>31257899.422750253</v>
      </c>
      <c r="AI115" s="3">
        <f t="shared" ref="AI115:BL115" si="58">AI21</f>
        <v>11445165.233717773</v>
      </c>
      <c r="AJ115" s="3">
        <f t="shared" si="58"/>
        <v>10130167.333335806</v>
      </c>
      <c r="AK115" s="3">
        <f t="shared" si="58"/>
        <v>14294362.780395161</v>
      </c>
      <c r="AL115" s="3">
        <f t="shared" si="58"/>
        <v>11001969.164639561</v>
      </c>
      <c r="AM115" s="3">
        <f t="shared" si="58"/>
        <v>18127422.140728079</v>
      </c>
      <c r="AN115" s="3">
        <f t="shared" si="58"/>
        <v>3102547.180697096</v>
      </c>
      <c r="AO115" s="3">
        <f t="shared" si="58"/>
        <v>19877484.034355581</v>
      </c>
      <c r="AP115" s="3">
        <f t="shared" si="58"/>
        <v>10456928.489552004</v>
      </c>
      <c r="AQ115" s="3">
        <f t="shared" si="58"/>
        <v>14825331.770740788</v>
      </c>
      <c r="AR115" s="3">
        <f t="shared" si="58"/>
        <v>7604812.9949635006</v>
      </c>
      <c r="AS115" s="3">
        <f t="shared" si="58"/>
        <v>6102741.7460063556</v>
      </c>
      <c r="AT115" s="3">
        <f t="shared" si="58"/>
        <v>5521236.3070440665</v>
      </c>
      <c r="AU115" s="3">
        <f t="shared" si="58"/>
        <v>7887414.5584288752</v>
      </c>
      <c r="AV115" s="3">
        <f t="shared" si="58"/>
        <v>6462263.5591781829</v>
      </c>
      <c r="AW115" s="3">
        <f t="shared" si="58"/>
        <v>11254325.35311671</v>
      </c>
      <c r="AX115" s="3">
        <f t="shared" si="58"/>
        <v>16277111.320827153</v>
      </c>
      <c r="AY115" s="3">
        <f t="shared" si="58"/>
        <v>15348312.008516744</v>
      </c>
      <c r="AZ115" s="3">
        <f t="shared" si="58"/>
        <v>11780140.197877135</v>
      </c>
      <c r="BA115" s="3">
        <f t="shared" si="58"/>
        <v>117904184.22937626</v>
      </c>
      <c r="BB115" s="3">
        <f t="shared" si="58"/>
        <v>24432747.611717034</v>
      </c>
      <c r="BC115" s="3">
        <f t="shared" si="58"/>
        <v>6370490.1307588909</v>
      </c>
      <c r="BD115" s="3">
        <f t="shared" si="58"/>
        <v>7489667.5982384831</v>
      </c>
      <c r="BE115" s="3">
        <f t="shared" si="58"/>
        <v>9995937.6047758646</v>
      </c>
      <c r="BF115" s="3">
        <f t="shared" si="58"/>
        <v>17521726.35049659</v>
      </c>
      <c r="BG115" s="3">
        <f t="shared" si="58"/>
        <v>4559948.612935178</v>
      </c>
      <c r="BH115" s="3">
        <f t="shared" ref="BH115" si="59">BH21</f>
        <v>10919651.371615304</v>
      </c>
      <c r="BI115" s="3">
        <f t="shared" si="58"/>
        <v>10250441.546847254</v>
      </c>
      <c r="BJ115" s="3">
        <f t="shared" si="58"/>
        <v>3184847.5537661584</v>
      </c>
      <c r="BK115" s="3">
        <f t="shared" si="58"/>
        <v>5557055.5604075436</v>
      </c>
      <c r="BL115" s="3">
        <f t="shared" si="58"/>
        <v>19431817.207371686</v>
      </c>
      <c r="BM115" s="3">
        <f t="shared" ref="BM115:BZ115" si="60">BM21</f>
        <v>9322850.8801903483</v>
      </c>
      <c r="BN115" s="3">
        <f t="shared" si="60"/>
        <v>14933418.968093837</v>
      </c>
      <c r="BO115" s="3">
        <f t="shared" si="60"/>
        <v>28710173.276946351</v>
      </c>
      <c r="BP115" s="3">
        <f t="shared" si="60"/>
        <v>21635073.737984892</v>
      </c>
      <c r="BQ115" s="3">
        <f t="shared" si="60"/>
        <v>7383121.7399476739</v>
      </c>
      <c r="BR115" s="3">
        <f t="shared" si="60"/>
        <v>67237186.19052428</v>
      </c>
      <c r="BS115" s="3">
        <f t="shared" si="60"/>
        <v>17681403.454974309</v>
      </c>
      <c r="BT115" s="3">
        <f t="shared" si="60"/>
        <v>11741109.640094889</v>
      </c>
      <c r="BU115" s="3">
        <f t="shared" si="60"/>
        <v>3656648.905996907</v>
      </c>
      <c r="BV115" s="3">
        <f t="shared" si="60"/>
        <v>8220444.1146791223</v>
      </c>
      <c r="BW115" s="3">
        <f t="shared" si="60"/>
        <v>47296521.45693092</v>
      </c>
      <c r="BX115" s="3">
        <f t="shared" si="60"/>
        <v>5883150.2796520153</v>
      </c>
      <c r="BY115" s="3">
        <f t="shared" si="60"/>
        <v>8750921.1440672576</v>
      </c>
      <c r="BZ115" s="3">
        <f t="shared" si="60"/>
        <v>27008387.170343496</v>
      </c>
    </row>
    <row r="116" spans="1:80" x14ac:dyDescent="0.2">
      <c r="B116" t="s">
        <v>0</v>
      </c>
      <c r="C116" s="3">
        <f t="shared" ref="C116:AH116" si="61">C26</f>
        <v>70556371.389999971</v>
      </c>
      <c r="D116" s="3">
        <f t="shared" si="61"/>
        <v>14992898.85</v>
      </c>
      <c r="E116" s="3">
        <f t="shared" si="61"/>
        <v>587771.39999999991</v>
      </c>
      <c r="F116" s="3">
        <f t="shared" si="61"/>
        <v>80202.149999999994</v>
      </c>
      <c r="G116" s="3">
        <f t="shared" si="61"/>
        <v>63744.9</v>
      </c>
      <c r="H116" s="3">
        <f t="shared" si="61"/>
        <v>121353.15</v>
      </c>
      <c r="I116" s="3">
        <f t="shared" si="61"/>
        <v>793924.99999999988</v>
      </c>
      <c r="J116" s="3">
        <f t="shared" si="61"/>
        <v>606563.24999999988</v>
      </c>
      <c r="K116" s="3">
        <f t="shared" si="61"/>
        <v>52341.850000000006</v>
      </c>
      <c r="L116" s="3">
        <f t="shared" si="61"/>
        <v>59317.950000000004</v>
      </c>
      <c r="M116" s="3">
        <f t="shared" si="61"/>
        <v>22506.15</v>
      </c>
      <c r="N116" s="3">
        <f t="shared" si="61"/>
        <v>50257.2</v>
      </c>
      <c r="O116" s="3">
        <f t="shared" si="61"/>
        <v>573951.70000000007</v>
      </c>
      <c r="P116" s="3">
        <f t="shared" si="61"/>
        <v>2218962.1500000004</v>
      </c>
      <c r="Q116" s="3">
        <f t="shared" si="61"/>
        <v>1078944.2499999998</v>
      </c>
      <c r="R116" s="3">
        <f t="shared" si="61"/>
        <v>511366.8</v>
      </c>
      <c r="S116" s="3">
        <f t="shared" si="61"/>
        <v>2333286.65</v>
      </c>
      <c r="T116" s="3">
        <f t="shared" si="61"/>
        <v>2512678.75</v>
      </c>
      <c r="U116" s="3">
        <f t="shared" si="61"/>
        <v>779302.5</v>
      </c>
      <c r="V116" s="3">
        <f t="shared" si="61"/>
        <v>2308174.7000000002</v>
      </c>
      <c r="W116" s="3">
        <f t="shared" si="61"/>
        <v>1881814.6800000002</v>
      </c>
      <c r="X116" s="3">
        <f t="shared" si="61"/>
        <v>3192366.5500000003</v>
      </c>
      <c r="Y116" s="3">
        <f t="shared" si="61"/>
        <v>726288.35</v>
      </c>
      <c r="Z116" s="3">
        <f t="shared" si="61"/>
        <v>234022.04999999996</v>
      </c>
      <c r="AA116" s="3">
        <f t="shared" si="61"/>
        <v>2794796.9999999995</v>
      </c>
      <c r="AB116" s="3">
        <f t="shared" si="61"/>
        <v>121385.10000000002</v>
      </c>
      <c r="AC116" s="3">
        <f t="shared" si="61"/>
        <v>1885189.1500000001</v>
      </c>
      <c r="AD116" s="3">
        <f t="shared" si="61"/>
        <v>496356.5</v>
      </c>
      <c r="AE116" s="3">
        <f t="shared" si="61"/>
        <v>3066282.97</v>
      </c>
      <c r="AF116" s="3">
        <f t="shared" si="61"/>
        <v>397418.94999999995</v>
      </c>
      <c r="AG116" s="3">
        <f t="shared" si="61"/>
        <v>1419915.3</v>
      </c>
      <c r="AH116" s="3">
        <f t="shared" si="61"/>
        <v>3066346.1500000004</v>
      </c>
      <c r="AI116" s="3">
        <f t="shared" ref="AI116:BL116" si="62">AI26</f>
        <v>983786.35</v>
      </c>
      <c r="AJ116" s="3">
        <f t="shared" si="62"/>
        <v>751119.25</v>
      </c>
      <c r="AK116" s="3">
        <f t="shared" si="62"/>
        <v>898735.74999999988</v>
      </c>
      <c r="AL116" s="3">
        <f t="shared" si="62"/>
        <v>341910.04999999993</v>
      </c>
      <c r="AM116" s="3">
        <f t="shared" si="62"/>
        <v>1081715.4000000001</v>
      </c>
      <c r="AN116" s="3">
        <f t="shared" si="62"/>
        <v>289143.14999999997</v>
      </c>
      <c r="AO116" s="3">
        <f t="shared" si="62"/>
        <v>527259.46</v>
      </c>
      <c r="AP116" s="3">
        <f t="shared" si="62"/>
        <v>485048.05</v>
      </c>
      <c r="AQ116" s="3">
        <f t="shared" si="62"/>
        <v>471923.10000000003</v>
      </c>
      <c r="AR116" s="3">
        <f t="shared" si="62"/>
        <v>253793.1</v>
      </c>
      <c r="AS116" s="3">
        <f t="shared" si="62"/>
        <v>58207.650000000009</v>
      </c>
      <c r="AT116" s="3">
        <f t="shared" si="62"/>
        <v>51437.599999999999</v>
      </c>
      <c r="AU116" s="3">
        <f t="shared" si="62"/>
        <v>209295.25000000003</v>
      </c>
      <c r="AV116" s="3">
        <f t="shared" si="62"/>
        <v>184514.95</v>
      </c>
      <c r="AW116" s="3">
        <f t="shared" si="62"/>
        <v>267251.84999999998</v>
      </c>
      <c r="AX116" s="3">
        <f t="shared" si="62"/>
        <v>258392.8</v>
      </c>
      <c r="AY116" s="3">
        <f t="shared" si="62"/>
        <v>644526.65</v>
      </c>
      <c r="AZ116" s="3">
        <f t="shared" si="62"/>
        <v>314974.29999999993</v>
      </c>
      <c r="BA116" s="3">
        <f t="shared" si="62"/>
        <v>2324421.8899999997</v>
      </c>
      <c r="BB116" s="3">
        <f t="shared" si="62"/>
        <v>640030.15</v>
      </c>
      <c r="BC116" s="3">
        <f t="shared" si="62"/>
        <v>276196.65000000002</v>
      </c>
      <c r="BD116" s="3">
        <f t="shared" si="62"/>
        <v>97646.85</v>
      </c>
      <c r="BE116" s="3">
        <f t="shared" si="62"/>
        <v>186363.24999999997</v>
      </c>
      <c r="BF116" s="3">
        <f t="shared" si="62"/>
        <v>456745.05</v>
      </c>
      <c r="BG116" s="3">
        <f t="shared" si="62"/>
        <v>145742.29999999999</v>
      </c>
      <c r="BH116" s="3">
        <f t="shared" ref="BH116" si="63">BH26</f>
        <v>265600.65000000002</v>
      </c>
      <c r="BI116" s="3">
        <f t="shared" si="62"/>
        <v>324151.05</v>
      </c>
      <c r="BJ116" s="3">
        <f t="shared" si="62"/>
        <v>116475.35</v>
      </c>
      <c r="BK116" s="3">
        <f t="shared" si="62"/>
        <v>68802.400000000009</v>
      </c>
      <c r="BL116" s="3">
        <f t="shared" si="62"/>
        <v>1503215.2500000002</v>
      </c>
      <c r="BM116" s="3">
        <f t="shared" ref="BM116:BZ116" si="64">BM26</f>
        <v>245519.05000000002</v>
      </c>
      <c r="BN116" s="3">
        <f t="shared" si="64"/>
        <v>437780.29</v>
      </c>
      <c r="BO116" s="3">
        <f t="shared" si="64"/>
        <v>1260929.2</v>
      </c>
      <c r="BP116" s="3">
        <f t="shared" si="64"/>
        <v>693310</v>
      </c>
      <c r="BQ116" s="3">
        <f t="shared" si="64"/>
        <v>251238.19999999998</v>
      </c>
      <c r="BR116" s="3">
        <f t="shared" si="64"/>
        <v>1832588.2000000002</v>
      </c>
      <c r="BS116" s="3">
        <f t="shared" si="64"/>
        <v>130962.95000000001</v>
      </c>
      <c r="BT116" s="3">
        <f t="shared" si="64"/>
        <v>309873.25</v>
      </c>
      <c r="BU116" s="3">
        <f t="shared" si="64"/>
        <v>83563.799999999988</v>
      </c>
      <c r="BV116" s="3">
        <f t="shared" si="64"/>
        <v>89015.95</v>
      </c>
      <c r="BW116" s="3">
        <f t="shared" si="64"/>
        <v>1195706.8499999999</v>
      </c>
      <c r="BX116" s="3">
        <f t="shared" si="64"/>
        <v>47583.950000000004</v>
      </c>
      <c r="BY116" s="3">
        <f t="shared" si="64"/>
        <v>163730.5</v>
      </c>
      <c r="BZ116" s="3">
        <f t="shared" si="64"/>
        <v>306411.55</v>
      </c>
    </row>
    <row r="117" spans="1:80" x14ac:dyDescent="0.2">
      <c r="B117" t="s">
        <v>1</v>
      </c>
      <c r="C117" s="3">
        <f t="shared" ref="C117:AH117" si="65">C32</f>
        <v>194696872.80000001</v>
      </c>
      <c r="D117" s="3">
        <f t="shared" si="65"/>
        <v>50975505.600000001</v>
      </c>
      <c r="E117" s="3">
        <f t="shared" si="65"/>
        <v>1845917.4</v>
      </c>
      <c r="F117" s="3">
        <f t="shared" si="65"/>
        <v>137885</v>
      </c>
      <c r="G117" s="3">
        <f t="shared" si="65"/>
        <v>102340.25</v>
      </c>
      <c r="H117" s="3">
        <f t="shared" si="65"/>
        <v>892930.45</v>
      </c>
      <c r="I117" s="3">
        <f t="shared" si="65"/>
        <v>5293344.2</v>
      </c>
      <c r="J117" s="3">
        <f t="shared" si="65"/>
        <v>1096223.5</v>
      </c>
      <c r="K117" s="3">
        <f t="shared" si="65"/>
        <v>66262.5</v>
      </c>
      <c r="L117" s="3">
        <f t="shared" si="65"/>
        <v>487408.65</v>
      </c>
      <c r="M117" s="3">
        <f t="shared" si="65"/>
        <v>81682.349999999991</v>
      </c>
      <c r="N117" s="3">
        <f t="shared" si="65"/>
        <v>106388.25</v>
      </c>
      <c r="O117" s="3">
        <f t="shared" si="65"/>
        <v>1029488.55</v>
      </c>
      <c r="P117" s="3">
        <f t="shared" si="65"/>
        <v>3550826.85</v>
      </c>
      <c r="Q117" s="3">
        <f t="shared" si="65"/>
        <v>3198700.65</v>
      </c>
      <c r="R117" s="3">
        <f t="shared" si="65"/>
        <v>747230.7</v>
      </c>
      <c r="S117" s="3">
        <f t="shared" si="65"/>
        <v>2759774.85</v>
      </c>
      <c r="T117" s="3">
        <f t="shared" si="65"/>
        <v>3172712.8000000003</v>
      </c>
      <c r="U117" s="3">
        <f t="shared" si="65"/>
        <v>1725511</v>
      </c>
      <c r="V117" s="3">
        <f t="shared" si="65"/>
        <v>4686930.7</v>
      </c>
      <c r="W117" s="3">
        <f t="shared" si="65"/>
        <v>3176957.65</v>
      </c>
      <c r="X117" s="3">
        <f t="shared" si="65"/>
        <v>6552558.3499999996</v>
      </c>
      <c r="Y117" s="3">
        <f t="shared" si="65"/>
        <v>1939941.0499999998</v>
      </c>
      <c r="Z117" s="3">
        <f t="shared" si="65"/>
        <v>381334.6</v>
      </c>
      <c r="AA117" s="3">
        <f t="shared" si="65"/>
        <v>3780119.85</v>
      </c>
      <c r="AB117" s="3">
        <f t="shared" si="65"/>
        <v>77970</v>
      </c>
      <c r="AC117" s="3">
        <f t="shared" si="65"/>
        <v>2526844.7999999998</v>
      </c>
      <c r="AD117" s="3">
        <f t="shared" si="65"/>
        <v>944623.1</v>
      </c>
      <c r="AE117" s="3">
        <f t="shared" si="65"/>
        <v>6753911</v>
      </c>
      <c r="AF117" s="3">
        <f t="shared" si="65"/>
        <v>682033.7</v>
      </c>
      <c r="AG117" s="3">
        <f t="shared" si="65"/>
        <v>1069851.3500000001</v>
      </c>
      <c r="AH117" s="3">
        <f t="shared" si="65"/>
        <v>6056015.3500000006</v>
      </c>
      <c r="AI117" s="3">
        <f t="shared" ref="AI117:BL117" si="66">AI32</f>
        <v>738899.9</v>
      </c>
      <c r="AJ117" s="3">
        <f t="shared" si="66"/>
        <v>690350.35</v>
      </c>
      <c r="AK117" s="3">
        <f t="shared" si="66"/>
        <v>1485821.5499999998</v>
      </c>
      <c r="AL117" s="3">
        <f t="shared" si="66"/>
        <v>1228525.6499999999</v>
      </c>
      <c r="AM117" s="3">
        <f t="shared" si="66"/>
        <v>1396316.9</v>
      </c>
      <c r="AN117" s="3">
        <f t="shared" si="66"/>
        <v>88761.75</v>
      </c>
      <c r="AO117" s="3">
        <f t="shared" si="66"/>
        <v>1917802.15</v>
      </c>
      <c r="AP117" s="3">
        <f t="shared" si="66"/>
        <v>739854.6</v>
      </c>
      <c r="AQ117" s="3">
        <f t="shared" si="66"/>
        <v>569516.44999999995</v>
      </c>
      <c r="AR117" s="3">
        <f t="shared" si="66"/>
        <v>234802.95</v>
      </c>
      <c r="AS117" s="3">
        <f t="shared" si="66"/>
        <v>174292.80000000002</v>
      </c>
      <c r="AT117" s="3">
        <f t="shared" si="66"/>
        <v>179840.19999999998</v>
      </c>
      <c r="AU117" s="3">
        <f t="shared" si="66"/>
        <v>339938.9</v>
      </c>
      <c r="AV117" s="3">
        <f t="shared" si="66"/>
        <v>538998.5</v>
      </c>
      <c r="AW117" s="3">
        <f t="shared" si="66"/>
        <v>683822.4</v>
      </c>
      <c r="AX117" s="3">
        <f t="shared" si="66"/>
        <v>469153.65</v>
      </c>
      <c r="AY117" s="3">
        <f t="shared" si="66"/>
        <v>1936714.6500000001</v>
      </c>
      <c r="AZ117" s="3">
        <f t="shared" si="66"/>
        <v>918674.55</v>
      </c>
      <c r="BA117" s="3">
        <f t="shared" si="66"/>
        <v>22882863.699999999</v>
      </c>
      <c r="BB117" s="3">
        <f t="shared" si="66"/>
        <v>1715808.45</v>
      </c>
      <c r="BC117" s="3">
        <f t="shared" si="66"/>
        <v>375063.39999999997</v>
      </c>
      <c r="BD117" s="3">
        <f t="shared" si="66"/>
        <v>482947.14999999997</v>
      </c>
      <c r="BE117" s="3">
        <f t="shared" si="66"/>
        <v>969250.35</v>
      </c>
      <c r="BF117" s="3">
        <f t="shared" si="66"/>
        <v>1600937.8499999999</v>
      </c>
      <c r="BG117" s="3">
        <f t="shared" si="66"/>
        <v>143185.75</v>
      </c>
      <c r="BH117" s="3">
        <f t="shared" ref="BH117" si="67">BH32</f>
        <v>486525.6</v>
      </c>
      <c r="BI117" s="3">
        <f t="shared" si="66"/>
        <v>959751.8</v>
      </c>
      <c r="BJ117" s="3">
        <f t="shared" si="66"/>
        <v>279634.45</v>
      </c>
      <c r="BK117" s="3">
        <f t="shared" si="66"/>
        <v>225023.15</v>
      </c>
      <c r="BL117" s="3">
        <f t="shared" si="66"/>
        <v>2406817.7999999998</v>
      </c>
      <c r="BM117" s="3">
        <f t="shared" ref="BM117:BZ117" si="68">BM32</f>
        <v>1012851.2</v>
      </c>
      <c r="BN117" s="3">
        <f t="shared" si="68"/>
        <v>871467</v>
      </c>
      <c r="BO117" s="3">
        <f t="shared" si="68"/>
        <v>2733525.9</v>
      </c>
      <c r="BP117" s="3">
        <f t="shared" si="68"/>
        <v>2373868.5</v>
      </c>
      <c r="BQ117" s="3">
        <f t="shared" si="68"/>
        <v>2099366.75</v>
      </c>
      <c r="BR117" s="3">
        <f t="shared" si="68"/>
        <v>11559832.200000001</v>
      </c>
      <c r="BS117" s="3">
        <f t="shared" si="68"/>
        <v>887491.9</v>
      </c>
      <c r="BT117" s="3">
        <f t="shared" si="68"/>
        <v>1998334.95</v>
      </c>
      <c r="BU117" s="3">
        <f t="shared" si="68"/>
        <v>128551.15000000001</v>
      </c>
      <c r="BV117" s="3">
        <f t="shared" si="68"/>
        <v>265861.15000000002</v>
      </c>
      <c r="BW117" s="3">
        <f t="shared" si="68"/>
        <v>6269870.1499999994</v>
      </c>
      <c r="BX117" s="3">
        <f t="shared" si="68"/>
        <v>279835.45</v>
      </c>
      <c r="BY117" s="3">
        <f t="shared" si="68"/>
        <v>526239.54999999993</v>
      </c>
      <c r="BZ117" s="3">
        <f t="shared" si="68"/>
        <v>930654.55</v>
      </c>
    </row>
    <row r="118" spans="1:80" x14ac:dyDescent="0.2">
      <c r="B118" t="s">
        <v>84</v>
      </c>
      <c r="C118" s="3">
        <f t="shared" ref="C118:AH118" si="69">C43</f>
        <v>100249679.95000003</v>
      </c>
      <c r="D118" s="3">
        <f t="shared" si="69"/>
        <v>15993291.535839427</v>
      </c>
      <c r="E118" s="3">
        <f t="shared" si="69"/>
        <v>1538171.9114933682</v>
      </c>
      <c r="F118" s="3">
        <f t="shared" si="69"/>
        <v>244765.38343836734</v>
      </c>
      <c r="G118" s="3">
        <f t="shared" si="69"/>
        <v>202704.19502420753</v>
      </c>
      <c r="H118" s="3">
        <f t="shared" si="69"/>
        <v>925706.18885393185</v>
      </c>
      <c r="I118" s="3">
        <f t="shared" si="69"/>
        <v>1819880.5767932483</v>
      </c>
      <c r="J118" s="3">
        <f t="shared" si="69"/>
        <v>734219.4637740032</v>
      </c>
      <c r="K118" s="3">
        <f t="shared" si="69"/>
        <v>177183.74926087807</v>
      </c>
      <c r="L118" s="3">
        <f t="shared" si="69"/>
        <v>370737.58410166611</v>
      </c>
      <c r="M118" s="3">
        <f t="shared" si="69"/>
        <v>189709.42881873919</v>
      </c>
      <c r="N118" s="3">
        <f t="shared" si="69"/>
        <v>395318.50022878015</v>
      </c>
      <c r="O118" s="3">
        <f t="shared" si="69"/>
        <v>1408549.2702102836</v>
      </c>
      <c r="P118" s="3">
        <f t="shared" si="69"/>
        <v>1569469.6874310595</v>
      </c>
      <c r="Q118" s="3">
        <f t="shared" si="69"/>
        <v>1481105.7990363999</v>
      </c>
      <c r="R118" s="3">
        <f t="shared" si="69"/>
        <v>578533.82016923977</v>
      </c>
      <c r="S118" s="3">
        <f t="shared" si="69"/>
        <v>1164046.4467445503</v>
      </c>
      <c r="T118" s="3">
        <f t="shared" si="69"/>
        <v>1584604.7597361649</v>
      </c>
      <c r="U118" s="3">
        <f t="shared" si="69"/>
        <v>825158.98901523999</v>
      </c>
      <c r="V118" s="3">
        <f t="shared" si="69"/>
        <v>1123128.78050128</v>
      </c>
      <c r="W118" s="3">
        <f t="shared" si="69"/>
        <v>1372352.9549990026</v>
      </c>
      <c r="X118" s="3">
        <f t="shared" si="69"/>
        <v>2178055.8342126808</v>
      </c>
      <c r="Y118" s="3">
        <f t="shared" si="69"/>
        <v>777017.52259306633</v>
      </c>
      <c r="Z118" s="3">
        <f t="shared" si="69"/>
        <v>373159.23160919995</v>
      </c>
      <c r="AA118" s="3">
        <f t="shared" si="69"/>
        <v>2192893.3322134512</v>
      </c>
      <c r="AB118" s="3">
        <f t="shared" si="69"/>
        <v>271020.6118205582</v>
      </c>
      <c r="AC118" s="3">
        <f t="shared" si="69"/>
        <v>1750847.3812929797</v>
      </c>
      <c r="AD118" s="3">
        <f t="shared" si="69"/>
        <v>474408.68780007231</v>
      </c>
      <c r="AE118" s="3">
        <f t="shared" si="69"/>
        <v>1285498.9822669206</v>
      </c>
      <c r="AF118" s="3">
        <f t="shared" si="69"/>
        <v>596481.40808538836</v>
      </c>
      <c r="AG118" s="3">
        <f t="shared" si="69"/>
        <v>1212533.0889928159</v>
      </c>
      <c r="AH118" s="3">
        <f t="shared" si="69"/>
        <v>2484015.3397518434</v>
      </c>
      <c r="AI118" s="3">
        <f t="shared" ref="AI118:BL118" si="70">AI43</f>
        <v>883406.31898004806</v>
      </c>
      <c r="AJ118" s="3">
        <f t="shared" si="70"/>
        <v>905148.13200368488</v>
      </c>
      <c r="AK118" s="3">
        <f t="shared" si="70"/>
        <v>1091943.7910851315</v>
      </c>
      <c r="AL118" s="3">
        <f t="shared" si="70"/>
        <v>935821.72820498142</v>
      </c>
      <c r="AM118" s="3">
        <f t="shared" si="70"/>
        <v>1494781.9494930392</v>
      </c>
      <c r="AN118" s="3">
        <f t="shared" si="70"/>
        <v>372816.50065255561</v>
      </c>
      <c r="AO118" s="3">
        <f t="shared" si="70"/>
        <v>1723206.2747767416</v>
      </c>
      <c r="AP118" s="3">
        <f t="shared" si="70"/>
        <v>1084078.9743581412</v>
      </c>
      <c r="AQ118" s="3">
        <f t="shared" si="70"/>
        <v>1040132.204139985</v>
      </c>
      <c r="AR118" s="3">
        <f t="shared" si="70"/>
        <v>837588.6448136965</v>
      </c>
      <c r="AS118" s="3">
        <f t="shared" si="70"/>
        <v>470126.01949150983</v>
      </c>
      <c r="AT118" s="3">
        <f t="shared" si="70"/>
        <v>377737.78959474032</v>
      </c>
      <c r="AU118" s="3">
        <f t="shared" si="70"/>
        <v>639893.00242881675</v>
      </c>
      <c r="AV118" s="3">
        <f t="shared" si="70"/>
        <v>506299.72038032557</v>
      </c>
      <c r="AW118" s="3">
        <f t="shared" si="70"/>
        <v>783513.57527214335</v>
      </c>
      <c r="AX118" s="3">
        <f t="shared" si="70"/>
        <v>1141152.5337319432</v>
      </c>
      <c r="AY118" s="3">
        <f t="shared" si="70"/>
        <v>1226839.7047588418</v>
      </c>
      <c r="AZ118" s="3">
        <f t="shared" si="70"/>
        <v>809587.21810337366</v>
      </c>
      <c r="BA118" s="3">
        <f t="shared" si="70"/>
        <v>7062633.693779869</v>
      </c>
      <c r="BB118" s="3">
        <f t="shared" si="70"/>
        <v>1894405.4155853095</v>
      </c>
      <c r="BC118" s="3">
        <f t="shared" si="70"/>
        <v>727121.19281076035</v>
      </c>
      <c r="BD118" s="3">
        <f t="shared" si="70"/>
        <v>572147.52744187089</v>
      </c>
      <c r="BE118" s="3">
        <f t="shared" si="70"/>
        <v>813187.8974227393</v>
      </c>
      <c r="BF118" s="3">
        <f t="shared" si="70"/>
        <v>1345412.4086887676</v>
      </c>
      <c r="BG118" s="3">
        <f t="shared" si="70"/>
        <v>288385.75062657968</v>
      </c>
      <c r="BH118" s="3">
        <f t="shared" ref="BH118" si="71">BH43</f>
        <v>872317.9289275537</v>
      </c>
      <c r="BI118" s="3">
        <f t="shared" si="70"/>
        <v>791153.83549187274</v>
      </c>
      <c r="BJ118" s="3">
        <f t="shared" si="70"/>
        <v>236699.84552145284</v>
      </c>
      <c r="BK118" s="3">
        <f t="shared" si="70"/>
        <v>402027.94595115929</v>
      </c>
      <c r="BL118" s="3">
        <f t="shared" si="70"/>
        <v>1644843.9758108151</v>
      </c>
      <c r="BM118" s="3">
        <f t="shared" ref="BM118:BZ118" si="72">BM43</f>
        <v>835441.62036256178</v>
      </c>
      <c r="BN118" s="3">
        <f t="shared" si="72"/>
        <v>1054303.1685276779</v>
      </c>
      <c r="BO118" s="3">
        <f t="shared" si="72"/>
        <v>2273111.6268953807</v>
      </c>
      <c r="BP118" s="3">
        <f t="shared" si="72"/>
        <v>1528982.9949412374</v>
      </c>
      <c r="BQ118" s="3">
        <f t="shared" si="72"/>
        <v>587250.51407514291</v>
      </c>
      <c r="BR118" s="3">
        <f t="shared" si="72"/>
        <v>4686505.854152306</v>
      </c>
      <c r="BS118" s="3">
        <f t="shared" si="72"/>
        <v>1051328.678155944</v>
      </c>
      <c r="BT118" s="3">
        <f t="shared" si="72"/>
        <v>947965.21333044837</v>
      </c>
      <c r="BU118" s="3">
        <f t="shared" si="72"/>
        <v>271036.85335611209</v>
      </c>
      <c r="BV118" s="3">
        <f t="shared" si="72"/>
        <v>551924.0943562428</v>
      </c>
      <c r="BW118" s="3">
        <f t="shared" si="72"/>
        <v>3548588.5104753748</v>
      </c>
      <c r="BX118" s="3">
        <f t="shared" si="72"/>
        <v>363879.82033104484</v>
      </c>
      <c r="BY118" s="3">
        <f t="shared" si="72"/>
        <v>624564.87182848714</v>
      </c>
      <c r="BZ118" s="3">
        <f t="shared" si="72"/>
        <v>1655814.1827748113</v>
      </c>
    </row>
    <row r="119" spans="1:80" x14ac:dyDescent="0.2">
      <c r="B119" t="s">
        <v>85</v>
      </c>
      <c r="C119" s="3">
        <f t="shared" ref="C119:AH119" si="73">C48</f>
        <v>1616917.6299999997</v>
      </c>
      <c r="D119" s="3">
        <f t="shared" si="73"/>
        <v>341027</v>
      </c>
      <c r="E119" s="3">
        <f t="shared" si="73"/>
        <v>31901.68</v>
      </c>
      <c r="F119" s="3">
        <f t="shared" si="73"/>
        <v>3311.7</v>
      </c>
      <c r="G119" s="3">
        <f t="shared" si="73"/>
        <v>2931.7</v>
      </c>
      <c r="H119" s="3">
        <f t="shared" si="73"/>
        <v>10902.2</v>
      </c>
      <c r="I119" s="3">
        <f t="shared" si="73"/>
        <v>16205.84</v>
      </c>
      <c r="J119" s="3">
        <f t="shared" si="73"/>
        <v>11989.2</v>
      </c>
      <c r="K119" s="3">
        <f t="shared" si="73"/>
        <v>1878.3</v>
      </c>
      <c r="L119" s="3">
        <f t="shared" si="73"/>
        <v>0</v>
      </c>
      <c r="M119" s="3">
        <f t="shared" si="73"/>
        <v>2746.55</v>
      </c>
      <c r="N119" s="3">
        <f t="shared" si="73"/>
        <v>6172.45</v>
      </c>
      <c r="O119" s="3">
        <f t="shared" si="73"/>
        <v>16555.62</v>
      </c>
      <c r="P119" s="3">
        <f t="shared" si="73"/>
        <v>38852.199999999997</v>
      </c>
      <c r="Q119" s="3">
        <f t="shared" si="73"/>
        <v>21580.7</v>
      </c>
      <c r="R119" s="3">
        <f t="shared" si="73"/>
        <v>12147.95</v>
      </c>
      <c r="S119" s="3">
        <f t="shared" si="73"/>
        <v>12664.89</v>
      </c>
      <c r="T119" s="3">
        <f t="shared" si="73"/>
        <v>28948.69</v>
      </c>
      <c r="U119" s="3">
        <f t="shared" si="73"/>
        <v>7523</v>
      </c>
      <c r="V119" s="3">
        <f t="shared" si="73"/>
        <v>11090.66</v>
      </c>
      <c r="W119" s="3">
        <f t="shared" si="73"/>
        <v>19959.3</v>
      </c>
      <c r="X119" s="3">
        <f t="shared" si="73"/>
        <v>16613.75</v>
      </c>
      <c r="Y119" s="3">
        <f t="shared" si="73"/>
        <v>7913</v>
      </c>
      <c r="Z119" s="3">
        <f t="shared" si="73"/>
        <v>3799.01</v>
      </c>
      <c r="AA119" s="3">
        <f t="shared" si="73"/>
        <v>42771.94</v>
      </c>
      <c r="AB119" s="3">
        <f t="shared" si="73"/>
        <v>2056.04</v>
      </c>
      <c r="AC119" s="3">
        <f t="shared" si="73"/>
        <v>25533.35</v>
      </c>
      <c r="AD119" s="3">
        <f t="shared" si="73"/>
        <v>4008.57</v>
      </c>
      <c r="AE119" s="3">
        <f t="shared" si="73"/>
        <v>27407.35</v>
      </c>
      <c r="AF119" s="3">
        <f t="shared" si="73"/>
        <v>7632.6</v>
      </c>
      <c r="AG119" s="3">
        <f t="shared" si="73"/>
        <v>43384.85</v>
      </c>
      <c r="AH119" s="3">
        <f t="shared" si="73"/>
        <v>34305</v>
      </c>
      <c r="AI119" s="3">
        <f t="shared" ref="AI119:BL119" si="74">AI48</f>
        <v>6301.4</v>
      </c>
      <c r="AJ119" s="3">
        <f t="shared" si="74"/>
        <v>12029.15</v>
      </c>
      <c r="AK119" s="3">
        <f t="shared" si="74"/>
        <v>12230.15</v>
      </c>
      <c r="AL119" s="3">
        <f t="shared" si="74"/>
        <v>9732</v>
      </c>
      <c r="AM119" s="3">
        <f t="shared" si="74"/>
        <v>11666</v>
      </c>
      <c r="AN119" s="3">
        <f t="shared" si="74"/>
        <v>25556.94</v>
      </c>
      <c r="AO119" s="3">
        <f t="shared" si="74"/>
        <v>27293.85</v>
      </c>
      <c r="AP119" s="3">
        <f t="shared" si="74"/>
        <v>11505.78</v>
      </c>
      <c r="AQ119" s="3">
        <f t="shared" si="74"/>
        <v>11991.8</v>
      </c>
      <c r="AR119" s="3">
        <f t="shared" si="74"/>
        <v>184.2</v>
      </c>
      <c r="AS119" s="3">
        <f t="shared" si="74"/>
        <v>5677.95</v>
      </c>
      <c r="AT119" s="3">
        <f t="shared" si="74"/>
        <v>6184.17</v>
      </c>
      <c r="AU119" s="3">
        <f t="shared" si="74"/>
        <v>6822.64</v>
      </c>
      <c r="AV119" s="3">
        <f t="shared" si="74"/>
        <v>5899.6</v>
      </c>
      <c r="AW119" s="3">
        <f t="shared" si="74"/>
        <v>8853.4500000000007</v>
      </c>
      <c r="AX119" s="3">
        <f t="shared" si="74"/>
        <v>10893.05</v>
      </c>
      <c r="AY119" s="3">
        <f t="shared" si="74"/>
        <v>26791.88</v>
      </c>
      <c r="AZ119" s="3">
        <f t="shared" si="74"/>
        <v>13657.6</v>
      </c>
      <c r="BA119" s="3">
        <f t="shared" si="74"/>
        <v>104845.2</v>
      </c>
      <c r="BB119" s="3">
        <f t="shared" si="74"/>
        <v>23051.66</v>
      </c>
      <c r="BC119" s="3">
        <f t="shared" si="74"/>
        <v>8106.2</v>
      </c>
      <c r="BD119" s="3">
        <f t="shared" si="74"/>
        <v>19773.55</v>
      </c>
      <c r="BE119" s="3">
        <f t="shared" si="74"/>
        <v>14735.22</v>
      </c>
      <c r="BF119" s="3">
        <f t="shared" si="74"/>
        <v>33792.5</v>
      </c>
      <c r="BG119" s="3">
        <f t="shared" si="74"/>
        <v>4306.3500000000004</v>
      </c>
      <c r="BH119" s="3">
        <f t="shared" ref="BH119" si="75">BH48</f>
        <v>22577.9</v>
      </c>
      <c r="BI119" s="3">
        <f t="shared" si="74"/>
        <v>17110.900000000001</v>
      </c>
      <c r="BJ119" s="3">
        <f t="shared" si="74"/>
        <v>3108</v>
      </c>
      <c r="BK119" s="3">
        <f t="shared" si="74"/>
        <v>10078.24</v>
      </c>
      <c r="BL119" s="3">
        <f t="shared" si="74"/>
        <v>30382.199999999997</v>
      </c>
      <c r="BM119" s="3">
        <f t="shared" ref="BM119:BZ119" si="76">BM48</f>
        <v>8183.93</v>
      </c>
      <c r="BN119" s="3">
        <f t="shared" si="76"/>
        <v>13801.55</v>
      </c>
      <c r="BO119" s="3">
        <f t="shared" si="76"/>
        <v>32491</v>
      </c>
      <c r="BP119" s="3">
        <f t="shared" si="76"/>
        <v>28138</v>
      </c>
      <c r="BQ119" s="3">
        <f t="shared" si="76"/>
        <v>12760.25</v>
      </c>
      <c r="BR119" s="3">
        <f t="shared" si="76"/>
        <v>101700.02</v>
      </c>
      <c r="BS119" s="3">
        <f t="shared" si="76"/>
        <v>8815.0499999999993</v>
      </c>
      <c r="BT119" s="3">
        <f t="shared" si="76"/>
        <v>9826.65</v>
      </c>
      <c r="BU119" s="3">
        <f t="shared" si="76"/>
        <v>1268.4000000000001</v>
      </c>
      <c r="BV119" s="3">
        <f t="shared" si="76"/>
        <v>7994.3</v>
      </c>
      <c r="BW119" s="3">
        <f t="shared" si="76"/>
        <v>30836.34</v>
      </c>
      <c r="BX119" s="3">
        <f t="shared" si="76"/>
        <v>5595.46</v>
      </c>
      <c r="BY119" s="3">
        <f t="shared" si="76"/>
        <v>12626.06</v>
      </c>
      <c r="BZ119" s="3">
        <f t="shared" si="76"/>
        <v>23926</v>
      </c>
    </row>
    <row r="120" spans="1:80" x14ac:dyDescent="0.2">
      <c r="B120" t="s">
        <v>2</v>
      </c>
      <c r="C120" s="3">
        <f t="shared" ref="C120:AH120" si="77">C53</f>
        <v>66697905.510000005</v>
      </c>
      <c r="D120" s="3">
        <f t="shared" si="77"/>
        <v>10747087.699999999</v>
      </c>
      <c r="E120" s="3">
        <f t="shared" si="77"/>
        <v>1043078.83</v>
      </c>
      <c r="F120" s="3">
        <f t="shared" si="77"/>
        <v>130609.25</v>
      </c>
      <c r="G120" s="3">
        <f t="shared" si="77"/>
        <v>63419.6</v>
      </c>
      <c r="H120" s="3">
        <f t="shared" si="77"/>
        <v>657110.5</v>
      </c>
      <c r="I120" s="3">
        <f t="shared" si="77"/>
        <v>818506.56</v>
      </c>
      <c r="J120" s="3">
        <f t="shared" si="77"/>
        <v>484469.95</v>
      </c>
      <c r="K120" s="3">
        <f t="shared" si="77"/>
        <v>280086.40000000002</v>
      </c>
      <c r="L120" s="3">
        <f t="shared" si="77"/>
        <v>150547.85</v>
      </c>
      <c r="M120" s="3">
        <f t="shared" si="77"/>
        <v>39640.449999999997</v>
      </c>
      <c r="N120" s="3">
        <f t="shared" si="77"/>
        <v>211831.45</v>
      </c>
      <c r="O120" s="3">
        <f t="shared" si="77"/>
        <v>1764100.94</v>
      </c>
      <c r="P120" s="3">
        <f t="shared" si="77"/>
        <v>1232195.5</v>
      </c>
      <c r="Q120" s="3">
        <f t="shared" si="77"/>
        <v>822027.05</v>
      </c>
      <c r="R120" s="3">
        <f t="shared" si="77"/>
        <v>427526.35</v>
      </c>
      <c r="S120" s="3">
        <f t="shared" si="77"/>
        <v>1058235.48</v>
      </c>
      <c r="T120" s="3">
        <f t="shared" si="77"/>
        <v>1472774.96</v>
      </c>
      <c r="U120" s="3">
        <f t="shared" si="77"/>
        <v>465984</v>
      </c>
      <c r="V120" s="3">
        <f t="shared" si="77"/>
        <v>496769.45</v>
      </c>
      <c r="W120" s="3">
        <f t="shared" si="77"/>
        <v>1047267.57</v>
      </c>
      <c r="X120" s="3">
        <f t="shared" si="77"/>
        <v>1137544.25</v>
      </c>
      <c r="Y120" s="3">
        <f t="shared" si="77"/>
        <v>534555</v>
      </c>
      <c r="Z120" s="3">
        <f t="shared" si="77"/>
        <v>150512.47</v>
      </c>
      <c r="AA120" s="3">
        <f t="shared" si="77"/>
        <v>1221347.06</v>
      </c>
      <c r="AB120" s="3">
        <f t="shared" si="77"/>
        <v>152245.79</v>
      </c>
      <c r="AC120" s="3">
        <f t="shared" si="77"/>
        <v>868191.49</v>
      </c>
      <c r="AD120" s="3">
        <f t="shared" si="77"/>
        <v>208144.87</v>
      </c>
      <c r="AE120" s="3">
        <f t="shared" si="77"/>
        <v>592568.85</v>
      </c>
      <c r="AF120" s="3">
        <f t="shared" si="77"/>
        <v>314155.95</v>
      </c>
      <c r="AG120" s="3">
        <f t="shared" si="77"/>
        <v>662938.80000000005</v>
      </c>
      <c r="AH120" s="3">
        <f t="shared" si="77"/>
        <v>1532879.61</v>
      </c>
      <c r="AI120" s="3">
        <f t="shared" ref="AI120:BL120" si="78">AI53</f>
        <v>712353.9</v>
      </c>
      <c r="AJ120" s="3">
        <f t="shared" si="78"/>
        <v>676079.2</v>
      </c>
      <c r="AK120" s="3">
        <f t="shared" si="78"/>
        <v>753282.7</v>
      </c>
      <c r="AL120" s="3">
        <f t="shared" si="78"/>
        <v>507399</v>
      </c>
      <c r="AM120" s="3">
        <f t="shared" si="78"/>
        <v>788651</v>
      </c>
      <c r="AN120" s="3">
        <f t="shared" si="78"/>
        <v>118401.31</v>
      </c>
      <c r="AO120" s="3">
        <f t="shared" si="78"/>
        <v>1046843.5</v>
      </c>
      <c r="AP120" s="3">
        <f t="shared" si="78"/>
        <v>890717.45</v>
      </c>
      <c r="AQ120" s="3">
        <f t="shared" si="78"/>
        <v>365733.64</v>
      </c>
      <c r="AR120" s="3">
        <f t="shared" si="78"/>
        <v>357911.3</v>
      </c>
      <c r="AS120" s="3">
        <f t="shared" si="78"/>
        <v>319816.8</v>
      </c>
      <c r="AT120" s="3">
        <f t="shared" si="78"/>
        <v>238631.67999999999</v>
      </c>
      <c r="AU120" s="3">
        <f t="shared" si="78"/>
        <v>417986.07</v>
      </c>
      <c r="AV120" s="3">
        <f t="shared" si="78"/>
        <v>242948.85</v>
      </c>
      <c r="AW120" s="3">
        <f t="shared" si="78"/>
        <v>585988.69999999995</v>
      </c>
      <c r="AX120" s="3">
        <f t="shared" si="78"/>
        <v>1062006.2</v>
      </c>
      <c r="AY120" s="3">
        <f t="shared" si="78"/>
        <v>1534595.16</v>
      </c>
      <c r="AZ120" s="3">
        <f t="shared" si="78"/>
        <v>481626.92</v>
      </c>
      <c r="BA120" s="3">
        <f t="shared" si="78"/>
        <v>3963250.2</v>
      </c>
      <c r="BB120" s="3">
        <f t="shared" si="78"/>
        <v>1392136.69</v>
      </c>
      <c r="BC120" s="3">
        <f t="shared" si="78"/>
        <v>399077.45</v>
      </c>
      <c r="BD120" s="3">
        <f t="shared" si="78"/>
        <v>438589.81</v>
      </c>
      <c r="BE120" s="3">
        <f t="shared" si="78"/>
        <v>477269.77</v>
      </c>
      <c r="BF120" s="3">
        <f t="shared" si="78"/>
        <v>1364961.86</v>
      </c>
      <c r="BG120" s="3">
        <f t="shared" si="78"/>
        <v>525157.80000000005</v>
      </c>
      <c r="BH120" s="3">
        <f t="shared" ref="BH120" si="79">BH53</f>
        <v>578932.35</v>
      </c>
      <c r="BI120" s="3">
        <f t="shared" si="78"/>
        <v>324153.05</v>
      </c>
      <c r="BJ120" s="3">
        <f t="shared" si="78"/>
        <v>132032.98000000001</v>
      </c>
      <c r="BK120" s="3">
        <f t="shared" si="78"/>
        <v>143051.35</v>
      </c>
      <c r="BL120" s="3">
        <f t="shared" si="78"/>
        <v>735867.75</v>
      </c>
      <c r="BM120" s="3">
        <f t="shared" ref="BM120:BZ120" si="80">BM53</f>
        <v>578276.04</v>
      </c>
      <c r="BN120" s="3">
        <f t="shared" si="80"/>
        <v>598875.30000000005</v>
      </c>
      <c r="BO120" s="3">
        <f t="shared" si="80"/>
        <v>1884720.85</v>
      </c>
      <c r="BP120" s="3">
        <f t="shared" si="80"/>
        <v>1106897.8500000001</v>
      </c>
      <c r="BQ120" s="3">
        <f t="shared" si="80"/>
        <v>501559.2</v>
      </c>
      <c r="BR120" s="3">
        <f t="shared" si="80"/>
        <v>3832501.4</v>
      </c>
      <c r="BS120" s="3">
        <f t="shared" si="80"/>
        <v>864370.7</v>
      </c>
      <c r="BT120" s="3">
        <f t="shared" si="80"/>
        <v>818061</v>
      </c>
      <c r="BU120" s="3">
        <f t="shared" si="80"/>
        <v>84187.08</v>
      </c>
      <c r="BV120" s="3">
        <f t="shared" si="80"/>
        <v>228669.6</v>
      </c>
      <c r="BW120" s="3">
        <f t="shared" si="80"/>
        <v>2111197.44</v>
      </c>
      <c r="BX120" s="3">
        <f t="shared" si="80"/>
        <v>328055.43</v>
      </c>
      <c r="BY120" s="3">
        <f t="shared" si="80"/>
        <v>321128.2</v>
      </c>
      <c r="BZ120" s="3">
        <f t="shared" si="80"/>
        <v>1075597</v>
      </c>
    </row>
    <row r="121" spans="1:80" x14ac:dyDescent="0.2">
      <c r="B121" t="s">
        <v>3</v>
      </c>
      <c r="C121" s="3">
        <f t="shared" ref="C121:AH121" si="81">C58</f>
        <v>104385009.85000001</v>
      </c>
      <c r="D121" s="3">
        <f t="shared" si="81"/>
        <v>16851736.399999999</v>
      </c>
      <c r="E121" s="3">
        <f t="shared" si="81"/>
        <v>2081393.25</v>
      </c>
      <c r="F121" s="3">
        <f t="shared" si="81"/>
        <v>280270.90000000002</v>
      </c>
      <c r="G121" s="3">
        <f t="shared" si="81"/>
        <v>170378.35</v>
      </c>
      <c r="H121" s="3">
        <f t="shared" si="81"/>
        <v>1891899.75</v>
      </c>
      <c r="I121" s="3">
        <f t="shared" si="81"/>
        <v>1188319.55</v>
      </c>
      <c r="J121" s="3">
        <f t="shared" si="81"/>
        <v>376225.7</v>
      </c>
      <c r="K121" s="3">
        <f t="shared" si="81"/>
        <v>301232.34999999998</v>
      </c>
      <c r="L121" s="3">
        <f t="shared" si="81"/>
        <v>217145.65</v>
      </c>
      <c r="M121" s="3">
        <f t="shared" si="81"/>
        <v>-44848.15</v>
      </c>
      <c r="N121" s="3">
        <f t="shared" si="81"/>
        <v>155261.65</v>
      </c>
      <c r="O121" s="3">
        <f t="shared" si="81"/>
        <v>1116222.5999999999</v>
      </c>
      <c r="P121" s="3">
        <f t="shared" si="81"/>
        <v>2711163.15</v>
      </c>
      <c r="Q121" s="3">
        <f t="shared" si="81"/>
        <v>799818.15</v>
      </c>
      <c r="R121" s="3">
        <f t="shared" si="81"/>
        <v>836172.89999999991</v>
      </c>
      <c r="S121" s="3">
        <f t="shared" si="81"/>
        <v>1978224.1</v>
      </c>
      <c r="T121" s="3">
        <f t="shared" si="81"/>
        <v>1757069.75</v>
      </c>
      <c r="U121" s="3">
        <f t="shared" si="81"/>
        <v>694056.35</v>
      </c>
      <c r="V121" s="3">
        <f t="shared" si="81"/>
        <v>1212217.7000000002</v>
      </c>
      <c r="W121" s="3">
        <f t="shared" si="81"/>
        <v>1297421.8</v>
      </c>
      <c r="X121" s="3">
        <f t="shared" si="81"/>
        <v>2099670.6</v>
      </c>
      <c r="Y121" s="3">
        <f t="shared" si="81"/>
        <v>998777.55</v>
      </c>
      <c r="Z121" s="3">
        <f t="shared" si="81"/>
        <v>290842.84999999998</v>
      </c>
      <c r="AA121" s="3">
        <f t="shared" si="81"/>
        <v>2547381.25</v>
      </c>
      <c r="AB121" s="3">
        <f t="shared" si="81"/>
        <v>238403.69999999998</v>
      </c>
      <c r="AC121" s="3">
        <f t="shared" si="81"/>
        <v>1804683.95</v>
      </c>
      <c r="AD121" s="3">
        <f t="shared" si="81"/>
        <v>273043.59999999998</v>
      </c>
      <c r="AE121" s="3">
        <f t="shared" si="81"/>
        <v>1346909.05</v>
      </c>
      <c r="AF121" s="3">
        <f t="shared" si="81"/>
        <v>695821.14999999991</v>
      </c>
      <c r="AG121" s="3">
        <f t="shared" si="81"/>
        <v>1563598.0999999999</v>
      </c>
      <c r="AH121" s="3">
        <f t="shared" si="81"/>
        <v>3098432.95</v>
      </c>
      <c r="AI121" s="3">
        <f t="shared" ref="AI121:BL121" si="82">AI58</f>
        <v>883672.65</v>
      </c>
      <c r="AJ121" s="3">
        <f t="shared" si="82"/>
        <v>998712.85000000009</v>
      </c>
      <c r="AK121" s="3">
        <f t="shared" si="82"/>
        <v>1401782.1500000001</v>
      </c>
      <c r="AL121" s="3">
        <f t="shared" si="82"/>
        <v>708173.55</v>
      </c>
      <c r="AM121" s="3">
        <f t="shared" si="82"/>
        <v>1480216.6500000001</v>
      </c>
      <c r="AN121" s="3">
        <f t="shared" si="82"/>
        <v>176554.1</v>
      </c>
      <c r="AO121" s="3">
        <f t="shared" si="82"/>
        <v>763457.65</v>
      </c>
      <c r="AP121" s="3">
        <f t="shared" si="82"/>
        <v>1447144.3499999999</v>
      </c>
      <c r="AQ121" s="3">
        <f t="shared" si="82"/>
        <v>482674.75</v>
      </c>
      <c r="AR121" s="3">
        <f t="shared" si="82"/>
        <v>772037.4</v>
      </c>
      <c r="AS121" s="3">
        <f t="shared" si="82"/>
        <v>846763.2</v>
      </c>
      <c r="AT121" s="3">
        <f t="shared" si="82"/>
        <v>308863.8</v>
      </c>
      <c r="AU121" s="3">
        <f t="shared" si="82"/>
        <v>471268.05</v>
      </c>
      <c r="AV121" s="3">
        <f t="shared" si="82"/>
        <v>763911.9</v>
      </c>
      <c r="AW121" s="3">
        <f t="shared" si="82"/>
        <v>480148</v>
      </c>
      <c r="AX121" s="3">
        <f t="shared" si="82"/>
        <v>1947703.9</v>
      </c>
      <c r="AY121" s="3">
        <f t="shared" si="82"/>
        <v>1637513.2</v>
      </c>
      <c r="AZ121" s="3">
        <f t="shared" si="82"/>
        <v>332705.69999999995</v>
      </c>
      <c r="BA121" s="3">
        <f t="shared" si="82"/>
        <v>9175873.25</v>
      </c>
      <c r="BB121" s="3">
        <f t="shared" si="82"/>
        <v>1414335.4</v>
      </c>
      <c r="BC121" s="3">
        <f t="shared" si="82"/>
        <v>475110.75</v>
      </c>
      <c r="BD121" s="3">
        <f t="shared" si="82"/>
        <v>450211.55000000005</v>
      </c>
      <c r="BE121" s="3">
        <f t="shared" si="82"/>
        <v>849727.4</v>
      </c>
      <c r="BF121" s="3">
        <f t="shared" si="82"/>
        <v>2206597.35</v>
      </c>
      <c r="BG121" s="3">
        <f t="shared" si="82"/>
        <v>247698.35</v>
      </c>
      <c r="BH121" s="3">
        <f t="shared" ref="BH121" si="83">BH58</f>
        <v>897892.65000000014</v>
      </c>
      <c r="BI121" s="3">
        <f t="shared" si="82"/>
        <v>897168.45</v>
      </c>
      <c r="BJ121" s="3">
        <f t="shared" si="82"/>
        <v>177903.05</v>
      </c>
      <c r="BK121" s="3">
        <f t="shared" si="82"/>
        <v>121727.3</v>
      </c>
      <c r="BL121" s="3">
        <f t="shared" si="82"/>
        <v>2960797.85</v>
      </c>
      <c r="BM121" s="3">
        <f t="shared" ref="BM121:BZ121" si="84">BM58</f>
        <v>449204.65</v>
      </c>
      <c r="BN121" s="3">
        <f t="shared" si="84"/>
        <v>824093.79999999993</v>
      </c>
      <c r="BO121" s="3">
        <f t="shared" si="84"/>
        <v>2453100.9499999997</v>
      </c>
      <c r="BP121" s="3">
        <f t="shared" si="84"/>
        <v>1525423.55</v>
      </c>
      <c r="BQ121" s="3">
        <f t="shared" si="84"/>
        <v>570193.85</v>
      </c>
      <c r="BR121" s="3">
        <f t="shared" si="84"/>
        <v>3511560.65</v>
      </c>
      <c r="BS121" s="3">
        <f t="shared" si="84"/>
        <v>1269483</v>
      </c>
      <c r="BT121" s="3">
        <f t="shared" si="84"/>
        <v>836991.45000000007</v>
      </c>
      <c r="BU121" s="3">
        <f t="shared" si="84"/>
        <v>277010.64999999997</v>
      </c>
      <c r="BV121" s="3">
        <f t="shared" si="84"/>
        <v>196828.2</v>
      </c>
      <c r="BW121" s="3">
        <f t="shared" si="84"/>
        <v>2893895</v>
      </c>
      <c r="BX121" s="3">
        <f t="shared" si="84"/>
        <v>286068.3</v>
      </c>
      <c r="BY121" s="3">
        <f t="shared" si="84"/>
        <v>685935.7</v>
      </c>
      <c r="BZ121" s="3">
        <f t="shared" si="84"/>
        <v>1997926.25</v>
      </c>
    </row>
    <row r="122" spans="1:80" x14ac:dyDescent="0.2">
      <c r="B122" t="s">
        <v>79</v>
      </c>
      <c r="C122" s="3">
        <f>SUM(C115:C121)</f>
        <v>1871694244.6716547</v>
      </c>
      <c r="D122" s="3">
        <f t="shared" ref="D122:BM122" si="85">SUM(D115:D121)</f>
        <v>309074908.11465555</v>
      </c>
      <c r="E122" s="3">
        <f t="shared" si="85"/>
        <v>28646123.889908794</v>
      </c>
      <c r="F122" s="3">
        <f t="shared" si="85"/>
        <v>4170954.7430386096</v>
      </c>
      <c r="G122" s="3">
        <f t="shared" si="85"/>
        <v>3327357.0308977994</v>
      </c>
      <c r="H122" s="3">
        <f t="shared" si="85"/>
        <v>24858153.868234757</v>
      </c>
      <c r="I122" s="3">
        <f t="shared" si="85"/>
        <v>35677624.308020405</v>
      </c>
      <c r="J122" s="3">
        <f t="shared" si="85"/>
        <v>12006455.926802136</v>
      </c>
      <c r="K122" s="3">
        <f t="shared" si="85"/>
        <v>3830286.8972541736</v>
      </c>
      <c r="L122" s="3">
        <f t="shared" si="85"/>
        <v>6935852.5291178692</v>
      </c>
      <c r="M122" s="3">
        <f t="shared" si="85"/>
        <v>3173347.1252957843</v>
      </c>
      <c r="N122" s="3">
        <f t="shared" si="85"/>
        <v>7288144.6724031111</v>
      </c>
      <c r="O122" s="3">
        <f t="shared" si="85"/>
        <v>27867573.6396497</v>
      </c>
      <c r="P122" s="3">
        <f t="shared" si="85"/>
        <v>28062157.078586031</v>
      </c>
      <c r="Q122" s="3">
        <f t="shared" si="85"/>
        <v>27351161.318856303</v>
      </c>
      <c r="R122" s="3">
        <f t="shared" si="85"/>
        <v>9947975.4826400857</v>
      </c>
      <c r="S122" s="3">
        <f t="shared" si="85"/>
        <v>19814844.445237745</v>
      </c>
      <c r="T122" s="3">
        <f t="shared" si="85"/>
        <v>31236311.603897594</v>
      </c>
      <c r="U122" s="3">
        <f t="shared" si="85"/>
        <v>16655862.257650964</v>
      </c>
      <c r="V122" s="3">
        <f t="shared" si="85"/>
        <v>27705997.978237029</v>
      </c>
      <c r="W122" s="3">
        <f t="shared" si="85"/>
        <v>25804984.397081625</v>
      </c>
      <c r="X122" s="3">
        <f t="shared" si="85"/>
        <v>40977631.072695978</v>
      </c>
      <c r="Y122" s="3">
        <f t="shared" si="85"/>
        <v>17322557.746190023</v>
      </c>
      <c r="Z122" s="3">
        <f t="shared" si="85"/>
        <v>6674615.0683500562</v>
      </c>
      <c r="AA122" s="3">
        <f t="shared" si="85"/>
        <v>40730926.243163392</v>
      </c>
      <c r="AB122" s="3">
        <f t="shared" si="85"/>
        <v>4340275.5184406731</v>
      </c>
      <c r="AC122" s="3">
        <f t="shared" si="85"/>
        <v>30027834.927304488</v>
      </c>
      <c r="AD122" s="3">
        <f t="shared" si="85"/>
        <v>7485215.4544549873</v>
      </c>
      <c r="AE122" s="3">
        <f t="shared" si="85"/>
        <v>27495792.690047838</v>
      </c>
      <c r="AF122" s="3">
        <f t="shared" si="85"/>
        <v>10851326.454184074</v>
      </c>
      <c r="AG122" s="3">
        <f t="shared" si="85"/>
        <v>22695322.040110715</v>
      </c>
      <c r="AH122" s="3">
        <f t="shared" si="85"/>
        <v>47529893.822502106</v>
      </c>
      <c r="AI122" s="3">
        <f t="shared" si="85"/>
        <v>15653585.752697822</v>
      </c>
      <c r="AJ122" s="3">
        <f t="shared" si="85"/>
        <v>14163606.26533949</v>
      </c>
      <c r="AK122" s="3">
        <f t="shared" si="85"/>
        <v>19938158.87148029</v>
      </c>
      <c r="AL122" s="3">
        <f t="shared" si="85"/>
        <v>14733531.142844543</v>
      </c>
      <c r="AM122" s="3">
        <f t="shared" si="85"/>
        <v>24380770.040221114</v>
      </c>
      <c r="AN122" s="3">
        <f t="shared" si="85"/>
        <v>4173780.9313496514</v>
      </c>
      <c r="AO122" s="3">
        <f t="shared" si="85"/>
        <v>25883346.919132322</v>
      </c>
      <c r="AP122" s="3">
        <f t="shared" si="85"/>
        <v>15115277.693910144</v>
      </c>
      <c r="AQ122" s="3">
        <f t="shared" si="85"/>
        <v>17767303.714880772</v>
      </c>
      <c r="AR122" s="3">
        <f t="shared" si="85"/>
        <v>10061130.589777198</v>
      </c>
      <c r="AS122" s="3">
        <f t="shared" si="85"/>
        <v>7977626.1654978655</v>
      </c>
      <c r="AT122" s="3">
        <f t="shared" si="85"/>
        <v>6683931.5466388064</v>
      </c>
      <c r="AU122" s="3">
        <f t="shared" si="85"/>
        <v>9972618.4708576929</v>
      </c>
      <c r="AV122" s="3">
        <f t="shared" si="85"/>
        <v>8704837.0795585085</v>
      </c>
      <c r="AW122" s="3">
        <f t="shared" si="85"/>
        <v>14063903.328388851</v>
      </c>
      <c r="AX122" s="3">
        <f t="shared" si="85"/>
        <v>21166413.454559095</v>
      </c>
      <c r="AY122" s="3">
        <f t="shared" si="85"/>
        <v>22355293.253275584</v>
      </c>
      <c r="AZ122" s="3">
        <f t="shared" si="85"/>
        <v>14651366.485980509</v>
      </c>
      <c r="BA122" s="3">
        <f t="shared" si="85"/>
        <v>163418072.16315609</v>
      </c>
      <c r="BB122" s="3">
        <f t="shared" si="85"/>
        <v>31512515.377302341</v>
      </c>
      <c r="BC122" s="3">
        <f t="shared" si="85"/>
        <v>8631165.7735696528</v>
      </c>
      <c r="BD122" s="3">
        <f t="shared" si="85"/>
        <v>9550984.0356803555</v>
      </c>
      <c r="BE122" s="3">
        <f t="shared" si="85"/>
        <v>13306471.492198605</v>
      </c>
      <c r="BF122" s="3">
        <f t="shared" si="85"/>
        <v>24530173.369185362</v>
      </c>
      <c r="BG122" s="3">
        <f t="shared" si="85"/>
        <v>5914424.9135617567</v>
      </c>
      <c r="BH122" s="3">
        <f t="shared" ref="BH122" si="86">SUM(BH115:BH121)</f>
        <v>14043498.450542858</v>
      </c>
      <c r="BI122" s="3">
        <f t="shared" si="85"/>
        <v>13563930.632339129</v>
      </c>
      <c r="BJ122" s="3">
        <f t="shared" si="85"/>
        <v>4130701.2292876113</v>
      </c>
      <c r="BK122" s="3">
        <f t="shared" si="85"/>
        <v>6527765.9463587031</v>
      </c>
      <c r="BL122" s="3">
        <f t="shared" si="85"/>
        <v>28713742.033182502</v>
      </c>
      <c r="BM122" s="3">
        <f t="shared" si="85"/>
        <v>12452327.37055291</v>
      </c>
      <c r="BN122" s="3">
        <f t="shared" ref="BN122:BZ122" si="87">SUM(BN115:BN121)</f>
        <v>18733740.076621518</v>
      </c>
      <c r="BO122" s="3">
        <f t="shared" si="87"/>
        <v>39348052.803841732</v>
      </c>
      <c r="BP122" s="3">
        <f t="shared" si="87"/>
        <v>28891694.632926133</v>
      </c>
      <c r="BQ122" s="3">
        <f t="shared" si="87"/>
        <v>11405490.504022816</v>
      </c>
      <c r="BR122" s="3">
        <f t="shared" si="87"/>
        <v>92761874.514676601</v>
      </c>
      <c r="BS122" s="3">
        <f t="shared" si="87"/>
        <v>21893855.73313025</v>
      </c>
      <c r="BT122" s="3">
        <f t="shared" si="87"/>
        <v>16662162.153425336</v>
      </c>
      <c r="BU122" s="3">
        <f t="shared" si="87"/>
        <v>4502266.8393530194</v>
      </c>
      <c r="BV122" s="3">
        <f t="shared" si="87"/>
        <v>9560737.4090353642</v>
      </c>
      <c r="BW122" s="3">
        <f t="shared" si="87"/>
        <v>63346615.747406296</v>
      </c>
      <c r="BX122" s="3">
        <f t="shared" si="87"/>
        <v>7194168.6899830597</v>
      </c>
      <c r="BY122" s="3">
        <f t="shared" si="87"/>
        <v>11085146.025895745</v>
      </c>
      <c r="BZ122" s="3">
        <f t="shared" si="87"/>
        <v>32998716.703118309</v>
      </c>
    </row>
    <row r="124" spans="1:80" x14ac:dyDescent="0.2">
      <c r="B124" t="s">
        <v>80</v>
      </c>
      <c r="C124" s="35">
        <f>SUM(D124:BZ124)</f>
        <v>525967</v>
      </c>
      <c r="D124" s="36">
        <v>76931</v>
      </c>
      <c r="E124" s="36">
        <v>9914</v>
      </c>
      <c r="F124" s="36">
        <v>1393</v>
      </c>
      <c r="G124" s="36">
        <v>1253</v>
      </c>
      <c r="H124" s="36">
        <v>3619</v>
      </c>
      <c r="I124" s="36">
        <v>9562</v>
      </c>
      <c r="J124" s="36">
        <v>3583</v>
      </c>
      <c r="K124" s="36">
        <v>988</v>
      </c>
      <c r="L124" s="36">
        <v>1587</v>
      </c>
      <c r="M124" s="36">
        <v>1026</v>
      </c>
      <c r="N124" s="36">
        <v>2364</v>
      </c>
      <c r="O124" s="36">
        <v>7620</v>
      </c>
      <c r="P124" s="36">
        <v>9777</v>
      </c>
      <c r="Q124" s="36">
        <v>6914</v>
      </c>
      <c r="R124" s="36">
        <v>3481</v>
      </c>
      <c r="S124" s="36">
        <v>6249</v>
      </c>
      <c r="T124" s="36">
        <v>8252</v>
      </c>
      <c r="U124" s="36">
        <v>3963</v>
      </c>
      <c r="V124" s="36">
        <v>5067</v>
      </c>
      <c r="W124" s="36">
        <v>6889</v>
      </c>
      <c r="X124" s="36">
        <v>10178</v>
      </c>
      <c r="Y124" s="36">
        <v>4906</v>
      </c>
      <c r="Z124" s="36">
        <v>2137</v>
      </c>
      <c r="AA124" s="36">
        <v>12278</v>
      </c>
      <c r="AB124" s="36">
        <v>1556</v>
      </c>
      <c r="AC124" s="36">
        <v>9180</v>
      </c>
      <c r="AD124" s="36">
        <v>2472</v>
      </c>
      <c r="AE124" s="36">
        <v>6101</v>
      </c>
      <c r="AF124" s="36">
        <v>3606</v>
      </c>
      <c r="AG124" s="36">
        <v>7302</v>
      </c>
      <c r="AH124" s="36">
        <v>13605</v>
      </c>
      <c r="AI124" s="36">
        <v>5279</v>
      </c>
      <c r="AJ124" s="36">
        <v>5395</v>
      </c>
      <c r="AK124" s="36">
        <v>6443</v>
      </c>
      <c r="AL124" s="36">
        <v>5015</v>
      </c>
      <c r="AM124" s="36">
        <v>6663</v>
      </c>
      <c r="AN124" s="36">
        <v>1563</v>
      </c>
      <c r="AO124" s="36">
        <v>9311</v>
      </c>
      <c r="AP124" s="36">
        <v>5211</v>
      </c>
      <c r="AQ124" s="36">
        <v>5763</v>
      </c>
      <c r="AR124" s="36">
        <v>3000</v>
      </c>
      <c r="AS124" s="36">
        <v>1847</v>
      </c>
      <c r="AT124" s="36">
        <v>1845</v>
      </c>
      <c r="AU124" s="36">
        <v>4021</v>
      </c>
      <c r="AV124" s="36">
        <v>3018</v>
      </c>
      <c r="AW124" s="36">
        <v>5051</v>
      </c>
      <c r="AX124" s="36">
        <v>5564</v>
      </c>
      <c r="AY124" s="36">
        <v>6850</v>
      </c>
      <c r="AZ124" s="36">
        <v>4110</v>
      </c>
      <c r="BA124" s="36">
        <v>28252</v>
      </c>
      <c r="BB124" s="36">
        <v>9996</v>
      </c>
      <c r="BC124" s="36">
        <v>2612</v>
      </c>
      <c r="BD124" s="36">
        <v>3733</v>
      </c>
      <c r="BE124" s="36">
        <v>4979</v>
      </c>
      <c r="BF124" s="36">
        <v>8954</v>
      </c>
      <c r="BG124" s="36">
        <v>1980</v>
      </c>
      <c r="BH124" s="36">
        <v>6324</v>
      </c>
      <c r="BI124" s="36">
        <v>5163</v>
      </c>
      <c r="BJ124" s="36">
        <v>1619</v>
      </c>
      <c r="BK124" s="36">
        <v>2920</v>
      </c>
      <c r="BL124" s="36">
        <v>9632</v>
      </c>
      <c r="BM124" s="36">
        <v>3961</v>
      </c>
      <c r="BN124" s="36">
        <v>6536</v>
      </c>
      <c r="BO124" s="36">
        <v>13831</v>
      </c>
      <c r="BP124" s="36">
        <v>10446</v>
      </c>
      <c r="BQ124" s="36">
        <v>4081</v>
      </c>
      <c r="BR124" s="36">
        <v>24541</v>
      </c>
      <c r="BS124" s="36">
        <v>4997</v>
      </c>
      <c r="BT124" s="36">
        <v>4588</v>
      </c>
      <c r="BU124" s="36">
        <v>1527</v>
      </c>
      <c r="BV124" s="36">
        <v>3201</v>
      </c>
      <c r="BW124" s="36">
        <v>18226</v>
      </c>
      <c r="BX124" s="36">
        <v>2115</v>
      </c>
      <c r="BY124" s="36">
        <v>3528</v>
      </c>
      <c r="BZ124" s="36">
        <v>8523</v>
      </c>
      <c r="CB124" t="s">
        <v>110</v>
      </c>
    </row>
    <row r="126" spans="1:80" s="19" customFormat="1" x14ac:dyDescent="0.2">
      <c r="B126" s="19" t="s">
        <v>104</v>
      </c>
      <c r="C126" s="92">
        <f>C122/C124</f>
        <v>3558.5773340754358</v>
      </c>
      <c r="D126" s="37">
        <f t="shared" ref="D126:BM126" si="88">D122/D124</f>
        <v>4017.5599968108509</v>
      </c>
      <c r="E126" s="37">
        <f t="shared" si="88"/>
        <v>2889.4617601279801</v>
      </c>
      <c r="F126" s="37">
        <f t="shared" si="88"/>
        <v>2994.2245104369058</v>
      </c>
      <c r="G126" s="37">
        <f t="shared" si="88"/>
        <v>2655.5123949703107</v>
      </c>
      <c r="H126" s="37">
        <f t="shared" si="88"/>
        <v>6868.7907897857858</v>
      </c>
      <c r="I126" s="37">
        <f t="shared" si="88"/>
        <v>3731.1884865112324</v>
      </c>
      <c r="J126" s="37">
        <f t="shared" si="88"/>
        <v>3350.950579626608</v>
      </c>
      <c r="K126" s="37">
        <f t="shared" si="88"/>
        <v>3876.8086004596898</v>
      </c>
      <c r="L126" s="37">
        <f t="shared" si="88"/>
        <v>4370.417472664064</v>
      </c>
      <c r="M126" s="37">
        <f t="shared" si="88"/>
        <v>3092.9309213409206</v>
      </c>
      <c r="N126" s="37">
        <f t="shared" si="88"/>
        <v>3082.9715196290658</v>
      </c>
      <c r="O126" s="37">
        <f t="shared" si="88"/>
        <v>3657.1618949671524</v>
      </c>
      <c r="P126" s="37">
        <f t="shared" si="88"/>
        <v>2870.2216506685108</v>
      </c>
      <c r="Q126" s="37">
        <f t="shared" si="88"/>
        <v>3955.9099390882707</v>
      </c>
      <c r="R126" s="37">
        <f t="shared" si="88"/>
        <v>2857.7924397127508</v>
      </c>
      <c r="S126" s="37">
        <f t="shared" si="88"/>
        <v>3170.8824524304282</v>
      </c>
      <c r="T126" s="37">
        <f t="shared" si="88"/>
        <v>3785.3019393962186</v>
      </c>
      <c r="U126" s="37">
        <f t="shared" si="88"/>
        <v>4202.8418515394815</v>
      </c>
      <c r="V126" s="37">
        <f t="shared" si="88"/>
        <v>5467.9293424584621</v>
      </c>
      <c r="W126" s="37">
        <f t="shared" si="88"/>
        <v>3745.8244153116016</v>
      </c>
      <c r="X126" s="37">
        <f t="shared" si="88"/>
        <v>4026.0985530257394</v>
      </c>
      <c r="Y126" s="37">
        <f t="shared" si="88"/>
        <v>3530.8923249470081</v>
      </c>
      <c r="Z126" s="37">
        <f t="shared" si="88"/>
        <v>3123.3575425128947</v>
      </c>
      <c r="AA126" s="37">
        <f t="shared" si="88"/>
        <v>3317.3909629551549</v>
      </c>
      <c r="AB126" s="37">
        <f t="shared" si="88"/>
        <v>2789.3801532395073</v>
      </c>
      <c r="AC126" s="37">
        <f t="shared" si="88"/>
        <v>3271.0059833665018</v>
      </c>
      <c r="AD126" s="37">
        <f t="shared" si="88"/>
        <v>3027.9997793102698</v>
      </c>
      <c r="AE126" s="37">
        <f t="shared" si="88"/>
        <v>4506.7681839121187</v>
      </c>
      <c r="AF126" s="37">
        <f t="shared" si="88"/>
        <v>3009.2419451425608</v>
      </c>
      <c r="AG126" s="37">
        <f t="shared" si="88"/>
        <v>3108.0966913326097</v>
      </c>
      <c r="AH126" s="37">
        <f t="shared" si="88"/>
        <v>3493.5607366778468</v>
      </c>
      <c r="AI126" s="37">
        <f t="shared" si="88"/>
        <v>2965.2558728353515</v>
      </c>
      <c r="AJ126" s="37">
        <f t="shared" si="88"/>
        <v>2625.3209018238167</v>
      </c>
      <c r="AK126" s="37">
        <f t="shared" si="88"/>
        <v>3094.5458437808925</v>
      </c>
      <c r="AL126" s="37">
        <f t="shared" si="88"/>
        <v>2937.89255091616</v>
      </c>
      <c r="AM126" s="37">
        <f t="shared" si="88"/>
        <v>3659.1280264477132</v>
      </c>
      <c r="AN126" s="37">
        <f t="shared" si="88"/>
        <v>2670.3652791744412</v>
      </c>
      <c r="AO126" s="37">
        <f t="shared" si="88"/>
        <v>2779.8675673002172</v>
      </c>
      <c r="AP126" s="37">
        <f t="shared" si="88"/>
        <v>2900.6481853598434</v>
      </c>
      <c r="AQ126" s="37">
        <f t="shared" si="88"/>
        <v>3082.9956125075087</v>
      </c>
      <c r="AR126" s="37">
        <f t="shared" si="88"/>
        <v>3353.7101965923994</v>
      </c>
      <c r="AS126" s="37">
        <f t="shared" si="88"/>
        <v>4319.2345238212592</v>
      </c>
      <c r="AT126" s="37">
        <f t="shared" si="88"/>
        <v>3622.7271255494884</v>
      </c>
      <c r="AU126" s="37">
        <f t="shared" si="88"/>
        <v>2480.1339146624455</v>
      </c>
      <c r="AV126" s="37">
        <f t="shared" si="88"/>
        <v>2884.3065207284653</v>
      </c>
      <c r="AW126" s="37">
        <f t="shared" si="88"/>
        <v>2784.379989781994</v>
      </c>
      <c r="AX126" s="37">
        <f t="shared" si="88"/>
        <v>3804.1720802586442</v>
      </c>
      <c r="AY126" s="37">
        <f t="shared" si="88"/>
        <v>3263.5464603322021</v>
      </c>
      <c r="AZ126" s="37">
        <f t="shared" si="88"/>
        <v>3564.8093639855251</v>
      </c>
      <c r="BA126" s="37">
        <f t="shared" si="88"/>
        <v>5784.3010110135956</v>
      </c>
      <c r="BB126" s="37">
        <f t="shared" si="88"/>
        <v>3152.5125427473331</v>
      </c>
      <c r="BC126" s="37">
        <f t="shared" si="88"/>
        <v>3304.4279378138026</v>
      </c>
      <c r="BD126" s="37">
        <f t="shared" si="88"/>
        <v>2558.5277352478852</v>
      </c>
      <c r="BE126" s="37">
        <f t="shared" si="88"/>
        <v>2672.518877726171</v>
      </c>
      <c r="BF126" s="37">
        <f t="shared" si="88"/>
        <v>2739.5771017629395</v>
      </c>
      <c r="BG126" s="37">
        <f t="shared" si="88"/>
        <v>2987.0832896776551</v>
      </c>
      <c r="BH126" s="37">
        <f t="shared" si="88"/>
        <v>2220.6670541655371</v>
      </c>
      <c r="BI126" s="37">
        <f t="shared" si="88"/>
        <v>2627.1413194536372</v>
      </c>
      <c r="BJ126" s="37">
        <f t="shared" si="88"/>
        <v>2551.3905060454672</v>
      </c>
      <c r="BK126" s="37">
        <f t="shared" si="88"/>
        <v>2235.5362829995556</v>
      </c>
      <c r="BL126" s="37">
        <f t="shared" si="88"/>
        <v>2981.077868893532</v>
      </c>
      <c r="BM126" s="37">
        <f t="shared" si="88"/>
        <v>3143.733241745244</v>
      </c>
      <c r="BN126" s="37">
        <f t="shared" ref="BN126:BZ126" si="89">BN122/BN124</f>
        <v>2866.2393018086777</v>
      </c>
      <c r="BO126" s="37">
        <f t="shared" si="89"/>
        <v>2844.9174176734678</v>
      </c>
      <c r="BP126" s="37">
        <f t="shared" si="89"/>
        <v>2765.8141521085709</v>
      </c>
      <c r="BQ126" s="37">
        <f t="shared" si="89"/>
        <v>2794.7783641320302</v>
      </c>
      <c r="BR126" s="37">
        <f t="shared" si="89"/>
        <v>3779.8734572624016</v>
      </c>
      <c r="BS126" s="37">
        <f t="shared" si="89"/>
        <v>4381.3999866180211</v>
      </c>
      <c r="BT126" s="37">
        <f t="shared" si="89"/>
        <v>3631.6831197526885</v>
      </c>
      <c r="BU126" s="37">
        <f t="shared" si="89"/>
        <v>2948.4393185023046</v>
      </c>
      <c r="BV126" s="37">
        <f t="shared" si="89"/>
        <v>2986.7970662403513</v>
      </c>
      <c r="BW126" s="37">
        <f t="shared" si="89"/>
        <v>3475.6181140901072</v>
      </c>
      <c r="BX126" s="37">
        <f t="shared" si="89"/>
        <v>3401.4981985735508</v>
      </c>
      <c r="BY126" s="37">
        <f t="shared" si="89"/>
        <v>3142.0481932811067</v>
      </c>
      <c r="BZ126" s="37">
        <f t="shared" si="89"/>
        <v>3871.725531282214</v>
      </c>
    </row>
    <row r="127" spans="1:80" x14ac:dyDescent="0.2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</row>
    <row r="128" spans="1:80" x14ac:dyDescent="0.2">
      <c r="A128" s="23" t="s">
        <v>158</v>
      </c>
      <c r="B128" s="25" t="s">
        <v>226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23"/>
      <c r="CB128" s="23"/>
    </row>
    <row r="129" spans="1:80" x14ac:dyDescent="0.2">
      <c r="B129" t="s">
        <v>4</v>
      </c>
      <c r="C129" s="3">
        <f t="shared" ref="C129:AH129" si="90">C72</f>
        <v>1289606551.3855174</v>
      </c>
      <c r="D129" s="3">
        <f t="shared" si="90"/>
        <v>193160293.1612564</v>
      </c>
      <c r="E129" s="3">
        <f t="shared" si="90"/>
        <v>20871639.113750201</v>
      </c>
      <c r="F129" s="3">
        <f t="shared" si="90"/>
        <v>3226202.3351107379</v>
      </c>
      <c r="G129" s="3">
        <f t="shared" si="90"/>
        <v>2605486.1313970946</v>
      </c>
      <c r="H129" s="3">
        <f t="shared" si="90"/>
        <v>18840472.051783793</v>
      </c>
      <c r="I129" s="3">
        <f t="shared" si="90"/>
        <v>25609703.273051992</v>
      </c>
      <c r="J129" s="3">
        <f t="shared" si="90"/>
        <v>8527891.8886637669</v>
      </c>
      <c r="K129" s="3">
        <f t="shared" si="90"/>
        <v>2261471.8179967776</v>
      </c>
      <c r="L129" s="3">
        <f t="shared" si="90"/>
        <v>5142322.0468134275</v>
      </c>
      <c r="M129" s="3">
        <f t="shared" si="90"/>
        <v>2712314.7041736855</v>
      </c>
      <c r="N129" s="3">
        <f t="shared" si="90"/>
        <v>5786338.1727927681</v>
      </c>
      <c r="O129" s="3">
        <f t="shared" si="90"/>
        <v>20779220.605926313</v>
      </c>
      <c r="P129" s="3">
        <f t="shared" si="90"/>
        <v>16392139.960630482</v>
      </c>
      <c r="Q129" s="3">
        <f t="shared" si="90"/>
        <v>18232658.48957549</v>
      </c>
      <c r="R129" s="3">
        <f t="shared" si="90"/>
        <v>6800178.3485072814</v>
      </c>
      <c r="S129" s="3">
        <f t="shared" si="90"/>
        <v>10346688.194179446</v>
      </c>
      <c r="T129" s="3">
        <f t="shared" si="90"/>
        <v>20328039.81150746</v>
      </c>
      <c r="U129" s="3">
        <f t="shared" si="90"/>
        <v>11971186.933587825</v>
      </c>
      <c r="V129" s="3">
        <f t="shared" si="90"/>
        <v>18156774.188718159</v>
      </c>
      <c r="W129" s="3">
        <f t="shared" si="90"/>
        <v>16650482.070678309</v>
      </c>
      <c r="X129" s="3">
        <f t="shared" si="90"/>
        <v>25910674.496842995</v>
      </c>
      <c r="Y129" s="3">
        <f t="shared" si="90"/>
        <v>11846872.872996729</v>
      </c>
      <c r="Z129" s="3">
        <f t="shared" si="90"/>
        <v>4670901.363502969</v>
      </c>
      <c r="AA129" s="3">
        <f t="shared" si="90"/>
        <v>27883730.964954227</v>
      </c>
      <c r="AB129" s="3">
        <f t="shared" si="90"/>
        <v>3364593.2081301892</v>
      </c>
      <c r="AC129" s="3">
        <f t="shared" si="90"/>
        <v>19735874.115440119</v>
      </c>
      <c r="AD129" s="3">
        <f t="shared" si="90"/>
        <v>5215688.7740423866</v>
      </c>
      <c r="AE129" s="3">
        <f t="shared" si="90"/>
        <v>13209279.657732004</v>
      </c>
      <c r="AF129" s="3">
        <f t="shared" si="90"/>
        <v>7720758.7371823769</v>
      </c>
      <c r="AG129" s="3">
        <f t="shared" si="90"/>
        <v>16527185.739286985</v>
      </c>
      <c r="AH129" s="3">
        <f t="shared" si="90"/>
        <v>30422929.982725833</v>
      </c>
      <c r="AI129" s="3">
        <f t="shared" ref="AI129:BL129" si="91">AI72</f>
        <v>10727879.313679541</v>
      </c>
      <c r="AJ129" s="3">
        <f t="shared" si="91"/>
        <v>9877818.126432132</v>
      </c>
      <c r="AK129" s="3">
        <f t="shared" si="91"/>
        <v>13798679.213755369</v>
      </c>
      <c r="AL129" s="3">
        <f t="shared" si="91"/>
        <v>10353522.732976492</v>
      </c>
      <c r="AM129" s="3">
        <f t="shared" si="91"/>
        <v>17898000.712196708</v>
      </c>
      <c r="AN129" s="3">
        <f t="shared" si="91"/>
        <v>2826554.8352551982</v>
      </c>
      <c r="AO129" s="3">
        <f t="shared" si="91"/>
        <v>19012184.75692727</v>
      </c>
      <c r="AP129" s="3">
        <f t="shared" si="91"/>
        <v>10109164.90626391</v>
      </c>
      <c r="AQ129" s="3">
        <f t="shared" si="91"/>
        <v>13933211.970234625</v>
      </c>
      <c r="AR129" s="3">
        <f t="shared" si="91"/>
        <v>7184028.90083698</v>
      </c>
      <c r="AS129" s="3">
        <f t="shared" si="91"/>
        <v>5641883.9708479391</v>
      </c>
      <c r="AT129" s="3">
        <f t="shared" si="91"/>
        <v>5370925.8481053179</v>
      </c>
      <c r="AU129" s="3">
        <f t="shared" si="91"/>
        <v>7540087.6669514915</v>
      </c>
      <c r="AV129" s="3">
        <f t="shared" si="91"/>
        <v>6273491.5294472445</v>
      </c>
      <c r="AW129" s="3">
        <f t="shared" si="91"/>
        <v>11139311.11634472</v>
      </c>
      <c r="AX129" s="3">
        <f t="shared" si="91"/>
        <v>15078009.480527703</v>
      </c>
      <c r="AY129" s="3">
        <f t="shared" si="91"/>
        <v>14217542.201198423</v>
      </c>
      <c r="AZ129" s="3">
        <f t="shared" si="91"/>
        <v>10778051.744272152</v>
      </c>
      <c r="BA129" s="3">
        <f t="shared" si="91"/>
        <v>113554612.89195648</v>
      </c>
      <c r="BB129" s="3">
        <f t="shared" si="91"/>
        <v>25022455.35296325</v>
      </c>
      <c r="BC129" s="3">
        <f t="shared" si="91"/>
        <v>6275100.5772272199</v>
      </c>
      <c r="BD129" s="3">
        <f t="shared" si="91"/>
        <v>7092603.0453269742</v>
      </c>
      <c r="BE129" s="3">
        <f t="shared" si="91"/>
        <v>9458077.2069536988</v>
      </c>
      <c r="BF129" s="3">
        <f t="shared" si="91"/>
        <v>17060120.864842016</v>
      </c>
      <c r="BG129" s="3">
        <f t="shared" si="91"/>
        <v>4055208.2135955342</v>
      </c>
      <c r="BH129" s="3">
        <f t="shared" ref="BH129" si="92">BH72</f>
        <v>10774522.611266285</v>
      </c>
      <c r="BI129" s="3">
        <f t="shared" si="91"/>
        <v>10272909.573509483</v>
      </c>
      <c r="BJ129" s="3">
        <f t="shared" si="91"/>
        <v>3028289.016889873</v>
      </c>
      <c r="BK129" s="3">
        <f t="shared" si="91"/>
        <v>5289180.7404133137</v>
      </c>
      <c r="BL129" s="3">
        <f t="shared" si="91"/>
        <v>19593685.666060284</v>
      </c>
      <c r="BM129" s="3">
        <f t="shared" ref="BM129:BZ129" si="93">BM72</f>
        <v>9106530.7558793258</v>
      </c>
      <c r="BN129" s="3">
        <f t="shared" si="93"/>
        <v>15681482.331438387</v>
      </c>
      <c r="BO129" s="3">
        <f t="shared" si="93"/>
        <v>27628971.121297467</v>
      </c>
      <c r="BP129" s="3">
        <f t="shared" si="93"/>
        <v>21227723.131489675</v>
      </c>
      <c r="BQ129" s="3">
        <f t="shared" si="93"/>
        <v>7358937.5739660179</v>
      </c>
      <c r="BR129" s="3">
        <f t="shared" si="93"/>
        <v>65747636.640443899</v>
      </c>
      <c r="BS129" s="3">
        <f t="shared" si="93"/>
        <v>17475849.413813811</v>
      </c>
      <c r="BT129" s="3">
        <f t="shared" si="93"/>
        <v>10225122.934787706</v>
      </c>
      <c r="BU129" s="3">
        <f t="shared" si="93"/>
        <v>3461187.3282587905</v>
      </c>
      <c r="BV129" s="3">
        <f t="shared" si="93"/>
        <v>7568020.5178967416</v>
      </c>
      <c r="BW129" s="3">
        <f t="shared" si="93"/>
        <v>45730423.458684534</v>
      </c>
      <c r="BX129" s="3">
        <f t="shared" si="93"/>
        <v>5503944.2441543676</v>
      </c>
      <c r="BY129" s="3">
        <f t="shared" si="93"/>
        <v>7990538.0142274937</v>
      </c>
      <c r="BZ129" s="3">
        <f t="shared" si="93"/>
        <v>26753075.918983631</v>
      </c>
    </row>
    <row r="130" spans="1:80" x14ac:dyDescent="0.2">
      <c r="B130" t="s">
        <v>0</v>
      </c>
      <c r="C130" s="3">
        <f t="shared" ref="C130:AH130" si="94">C77</f>
        <v>65197048.829999983</v>
      </c>
      <c r="D130" s="3">
        <f t="shared" si="94"/>
        <v>13825625.970000001</v>
      </c>
      <c r="E130" s="3">
        <f t="shared" si="94"/>
        <v>645770.29999999993</v>
      </c>
      <c r="F130" s="3">
        <f t="shared" si="94"/>
        <v>93615.9</v>
      </c>
      <c r="G130" s="3">
        <f t="shared" si="94"/>
        <v>59050.600000000006</v>
      </c>
      <c r="H130" s="3">
        <f t="shared" si="94"/>
        <v>63517.900000000009</v>
      </c>
      <c r="I130" s="3">
        <f t="shared" si="94"/>
        <v>753594.7</v>
      </c>
      <c r="J130" s="3">
        <f t="shared" si="94"/>
        <v>685673.60000000009</v>
      </c>
      <c r="K130" s="3">
        <f t="shared" si="94"/>
        <v>42638.45</v>
      </c>
      <c r="L130" s="3">
        <f t="shared" si="94"/>
        <v>62718.7</v>
      </c>
      <c r="M130" s="3">
        <f t="shared" si="94"/>
        <v>23888.55</v>
      </c>
      <c r="N130" s="3">
        <f t="shared" si="94"/>
        <v>39640.5</v>
      </c>
      <c r="O130" s="3">
        <f t="shared" si="94"/>
        <v>520745.10000000003</v>
      </c>
      <c r="P130" s="3">
        <f t="shared" si="94"/>
        <v>2065757.9500000002</v>
      </c>
      <c r="Q130" s="3">
        <f t="shared" si="94"/>
        <v>1556497</v>
      </c>
      <c r="R130" s="3">
        <f t="shared" si="94"/>
        <v>455328.5</v>
      </c>
      <c r="S130" s="3">
        <f t="shared" si="94"/>
        <v>2233406.5500000003</v>
      </c>
      <c r="T130" s="3">
        <f t="shared" si="94"/>
        <v>2529506.5500000003</v>
      </c>
      <c r="U130" s="3">
        <f t="shared" si="94"/>
        <v>587184.85</v>
      </c>
      <c r="V130" s="3">
        <f t="shared" si="94"/>
        <v>2516563.5000000005</v>
      </c>
      <c r="W130" s="3">
        <f t="shared" si="94"/>
        <v>2025679.5499999998</v>
      </c>
      <c r="X130" s="3">
        <f t="shared" si="94"/>
        <v>2401749.96</v>
      </c>
      <c r="Y130" s="3">
        <f t="shared" si="94"/>
        <v>711299.6</v>
      </c>
      <c r="Z130" s="3">
        <f t="shared" si="94"/>
        <v>223452.15</v>
      </c>
      <c r="AA130" s="3">
        <f t="shared" si="94"/>
        <v>2379300.2000000002</v>
      </c>
      <c r="AB130" s="3">
        <f t="shared" si="94"/>
        <v>99737.7</v>
      </c>
      <c r="AC130" s="3">
        <f t="shared" si="94"/>
        <v>1617718.7999999998</v>
      </c>
      <c r="AD130" s="3">
        <f t="shared" si="94"/>
        <v>479745.04999999993</v>
      </c>
      <c r="AE130" s="3">
        <f t="shared" si="94"/>
        <v>2045902.4499999997</v>
      </c>
      <c r="AF130" s="3">
        <f t="shared" si="94"/>
        <v>329387.74999999994</v>
      </c>
      <c r="AG130" s="3">
        <f t="shared" si="94"/>
        <v>1262946.9000000001</v>
      </c>
      <c r="AH130" s="3">
        <f t="shared" si="94"/>
        <v>2752623.3000000003</v>
      </c>
      <c r="AI130" s="3">
        <f t="shared" ref="AI130:BL130" si="95">AI77</f>
        <v>820936.9</v>
      </c>
      <c r="AJ130" s="3">
        <f t="shared" si="95"/>
        <v>685271.99999999988</v>
      </c>
      <c r="AK130" s="3">
        <f t="shared" si="95"/>
        <v>663039.05000000005</v>
      </c>
      <c r="AL130" s="3">
        <f t="shared" si="95"/>
        <v>310036.90000000002</v>
      </c>
      <c r="AM130" s="3">
        <f t="shared" si="95"/>
        <v>866746.89999999991</v>
      </c>
      <c r="AN130" s="3">
        <f t="shared" si="95"/>
        <v>247276.59999999998</v>
      </c>
      <c r="AO130" s="3">
        <f t="shared" si="95"/>
        <v>379483.49999999988</v>
      </c>
      <c r="AP130" s="3">
        <f t="shared" si="95"/>
        <v>372301.25</v>
      </c>
      <c r="AQ130" s="3">
        <f t="shared" si="95"/>
        <v>486243.2</v>
      </c>
      <c r="AR130" s="3">
        <f t="shared" si="95"/>
        <v>244932.2</v>
      </c>
      <c r="AS130" s="3">
        <f t="shared" si="95"/>
        <v>69489.549999999988</v>
      </c>
      <c r="AT130" s="3">
        <f t="shared" si="95"/>
        <v>110607.55</v>
      </c>
      <c r="AU130" s="3">
        <f t="shared" si="95"/>
        <v>174357</v>
      </c>
      <c r="AV130" s="3">
        <f t="shared" si="95"/>
        <v>241988.90000000002</v>
      </c>
      <c r="AW130" s="3">
        <f t="shared" si="95"/>
        <v>222116</v>
      </c>
      <c r="AX130" s="3">
        <f t="shared" si="95"/>
        <v>248570.4</v>
      </c>
      <c r="AY130" s="3">
        <f t="shared" si="95"/>
        <v>541502.65</v>
      </c>
      <c r="AZ130" s="3">
        <f t="shared" si="95"/>
        <v>270106.49999999994</v>
      </c>
      <c r="BA130" s="3">
        <f t="shared" si="95"/>
        <v>2957692.25</v>
      </c>
      <c r="BB130" s="3">
        <f t="shared" si="95"/>
        <v>555159.15</v>
      </c>
      <c r="BC130" s="3">
        <f t="shared" si="95"/>
        <v>214806.95</v>
      </c>
      <c r="BD130" s="3">
        <f t="shared" si="95"/>
        <v>106836.09999999999</v>
      </c>
      <c r="BE130" s="3">
        <f t="shared" si="95"/>
        <v>162115.89999999997</v>
      </c>
      <c r="BF130" s="3">
        <f t="shared" si="95"/>
        <v>457446.64999999997</v>
      </c>
      <c r="BG130" s="3">
        <f t="shared" si="95"/>
        <v>120019.34999999999</v>
      </c>
      <c r="BH130" s="3">
        <f t="shared" ref="BH130" si="96">BH77</f>
        <v>194734.69999999998</v>
      </c>
      <c r="BI130" s="3">
        <f t="shared" si="95"/>
        <v>284018.40000000002</v>
      </c>
      <c r="BJ130" s="3">
        <f t="shared" si="95"/>
        <v>96376.1</v>
      </c>
      <c r="BK130" s="3">
        <f t="shared" si="95"/>
        <v>59809.250000000007</v>
      </c>
      <c r="BL130" s="3">
        <f t="shared" si="95"/>
        <v>1130069.8</v>
      </c>
      <c r="BM130" s="3">
        <f t="shared" ref="BM130:BZ130" si="97">BM77</f>
        <v>256052.2</v>
      </c>
      <c r="BN130" s="3">
        <f t="shared" si="97"/>
        <v>410995.24999999994</v>
      </c>
      <c r="BO130" s="3">
        <f t="shared" si="97"/>
        <v>1104723.8999999997</v>
      </c>
      <c r="BP130" s="3">
        <f t="shared" si="97"/>
        <v>647189.10000000009</v>
      </c>
      <c r="BQ130" s="3">
        <f t="shared" si="97"/>
        <v>250204.99999999994</v>
      </c>
      <c r="BR130" s="3">
        <f t="shared" si="97"/>
        <v>1893342.15</v>
      </c>
      <c r="BS130" s="3">
        <f t="shared" si="97"/>
        <v>199027.64999999997</v>
      </c>
      <c r="BT130" s="3">
        <f t="shared" si="97"/>
        <v>299461.00000000006</v>
      </c>
      <c r="BU130" s="3">
        <f t="shared" si="97"/>
        <v>76063.05</v>
      </c>
      <c r="BV130" s="3">
        <f t="shared" si="97"/>
        <v>80977.399999999994</v>
      </c>
      <c r="BW130" s="3">
        <f t="shared" si="97"/>
        <v>1108742.8999999999</v>
      </c>
      <c r="BX130" s="3">
        <f t="shared" si="97"/>
        <v>52997.25</v>
      </c>
      <c r="BY130" s="3">
        <f t="shared" si="97"/>
        <v>157990.20000000001</v>
      </c>
      <c r="BZ130" s="3">
        <f t="shared" si="97"/>
        <v>274921.55</v>
      </c>
    </row>
    <row r="131" spans="1:80" x14ac:dyDescent="0.2">
      <c r="B131" t="s">
        <v>1</v>
      </c>
      <c r="C131" s="3">
        <f t="shared" ref="C131:AH131" si="98">C83</f>
        <v>156010528.44999999</v>
      </c>
      <c r="D131" s="3">
        <f t="shared" si="98"/>
        <v>35757939.600000001</v>
      </c>
      <c r="E131" s="3">
        <f t="shared" si="98"/>
        <v>1608483.55</v>
      </c>
      <c r="F131" s="3">
        <f t="shared" si="98"/>
        <v>143046.9</v>
      </c>
      <c r="G131" s="3">
        <f t="shared" si="98"/>
        <v>70739.950000000012</v>
      </c>
      <c r="H131" s="3">
        <f t="shared" si="98"/>
        <v>563599.65</v>
      </c>
      <c r="I131" s="3">
        <f t="shared" si="98"/>
        <v>4268743.75</v>
      </c>
      <c r="J131" s="3">
        <f t="shared" si="98"/>
        <v>2090804.7</v>
      </c>
      <c r="K131" s="3">
        <f t="shared" si="98"/>
        <v>45063.25</v>
      </c>
      <c r="L131" s="3">
        <f t="shared" si="98"/>
        <v>433887.14999999997</v>
      </c>
      <c r="M131" s="3">
        <f t="shared" si="98"/>
        <v>57662.15</v>
      </c>
      <c r="N131" s="3">
        <f t="shared" si="98"/>
        <v>78841.350000000006</v>
      </c>
      <c r="O131" s="3">
        <f t="shared" si="98"/>
        <v>469608.8</v>
      </c>
      <c r="P131" s="3">
        <f t="shared" si="98"/>
        <v>3699467.8</v>
      </c>
      <c r="Q131" s="3">
        <f t="shared" si="98"/>
        <v>3466181.25</v>
      </c>
      <c r="R131" s="3">
        <f t="shared" si="98"/>
        <v>705502.5</v>
      </c>
      <c r="S131" s="3">
        <f t="shared" si="98"/>
        <v>1964181.2000000002</v>
      </c>
      <c r="T131" s="3">
        <f t="shared" si="98"/>
        <v>2586075.3000000003</v>
      </c>
      <c r="U131" s="3">
        <f t="shared" si="98"/>
        <v>820008.60000000009</v>
      </c>
      <c r="V131" s="3">
        <f t="shared" si="98"/>
        <v>5384618.8499999996</v>
      </c>
      <c r="W131" s="3">
        <f t="shared" si="98"/>
        <v>1721687.4</v>
      </c>
      <c r="X131" s="3">
        <f t="shared" si="98"/>
        <v>4782860.6000000006</v>
      </c>
      <c r="Y131" s="3">
        <f t="shared" si="98"/>
        <v>1712011.25</v>
      </c>
      <c r="Z131" s="3">
        <f t="shared" si="98"/>
        <v>206655.7</v>
      </c>
      <c r="AA131" s="3">
        <f t="shared" si="98"/>
        <v>3487948.3000000003</v>
      </c>
      <c r="AB131" s="3">
        <f t="shared" si="98"/>
        <v>77327.350000000006</v>
      </c>
      <c r="AC131" s="3">
        <f t="shared" si="98"/>
        <v>2028522.8499999999</v>
      </c>
      <c r="AD131" s="3">
        <f t="shared" si="98"/>
        <v>495884.25</v>
      </c>
      <c r="AE131" s="3">
        <f t="shared" si="98"/>
        <v>4944796.9000000004</v>
      </c>
      <c r="AF131" s="3">
        <f t="shared" si="98"/>
        <v>363537.89999999997</v>
      </c>
      <c r="AG131" s="3">
        <f t="shared" si="98"/>
        <v>935510.3</v>
      </c>
      <c r="AH131" s="3">
        <f t="shared" si="98"/>
        <v>635685.10000000009</v>
      </c>
      <c r="AI131" s="3">
        <f t="shared" ref="AI131:BL131" si="99">AI83</f>
        <v>567558.05000000005</v>
      </c>
      <c r="AJ131" s="3">
        <f t="shared" si="99"/>
        <v>702784.05</v>
      </c>
      <c r="AK131" s="3">
        <f t="shared" si="99"/>
        <v>1221706.1499999999</v>
      </c>
      <c r="AL131" s="3">
        <f t="shared" si="99"/>
        <v>672219.85</v>
      </c>
      <c r="AM131" s="3">
        <f t="shared" si="99"/>
        <v>1044185.6499999999</v>
      </c>
      <c r="AN131" s="3">
        <f t="shared" si="99"/>
        <v>84709.85</v>
      </c>
      <c r="AO131" s="3">
        <f t="shared" si="99"/>
        <v>1734202</v>
      </c>
      <c r="AP131" s="3">
        <f t="shared" si="99"/>
        <v>739165.15</v>
      </c>
      <c r="AQ131" s="3">
        <f t="shared" si="99"/>
        <v>589063.94999999995</v>
      </c>
      <c r="AR131" s="3">
        <f t="shared" si="99"/>
        <v>291430.8</v>
      </c>
      <c r="AS131" s="3">
        <f t="shared" si="99"/>
        <v>70475.55</v>
      </c>
      <c r="AT131" s="3">
        <f t="shared" si="99"/>
        <v>10762.4</v>
      </c>
      <c r="AU131" s="3">
        <f t="shared" si="99"/>
        <v>376421.1</v>
      </c>
      <c r="AV131" s="3">
        <f t="shared" si="99"/>
        <v>361457.3</v>
      </c>
      <c r="AW131" s="3">
        <f t="shared" si="99"/>
        <v>650584.55000000005</v>
      </c>
      <c r="AX131" s="3">
        <f t="shared" si="99"/>
        <v>506375.65</v>
      </c>
      <c r="AY131" s="3">
        <f t="shared" si="99"/>
        <v>1848931.55</v>
      </c>
      <c r="AZ131" s="3">
        <f t="shared" si="99"/>
        <v>792746.95000000007</v>
      </c>
      <c r="BA131" s="3">
        <f t="shared" si="99"/>
        <v>22740569.600000001</v>
      </c>
      <c r="BB131" s="3">
        <f t="shared" si="99"/>
        <v>1536277.3</v>
      </c>
      <c r="BC131" s="3">
        <f t="shared" si="99"/>
        <v>326732.15000000002</v>
      </c>
      <c r="BD131" s="3">
        <f t="shared" si="99"/>
        <v>375909.95</v>
      </c>
      <c r="BE131" s="3">
        <f t="shared" si="99"/>
        <v>1349433.65</v>
      </c>
      <c r="BF131" s="3">
        <f t="shared" si="99"/>
        <v>1328699.8999999999</v>
      </c>
      <c r="BG131" s="3">
        <f t="shared" si="99"/>
        <v>226343.25</v>
      </c>
      <c r="BH131" s="3">
        <f t="shared" ref="BH131" si="100">BH83</f>
        <v>331647.14999999997</v>
      </c>
      <c r="BI131" s="3">
        <f t="shared" si="99"/>
        <v>1015238</v>
      </c>
      <c r="BJ131" s="3">
        <f t="shared" si="99"/>
        <v>227241.85</v>
      </c>
      <c r="BK131" s="3">
        <f t="shared" si="99"/>
        <v>196567.35</v>
      </c>
      <c r="BL131" s="3">
        <f t="shared" si="99"/>
        <v>1962524.0999999999</v>
      </c>
      <c r="BM131" s="3">
        <f t="shared" ref="BM131:BZ131" si="101">BM83</f>
        <v>1030877.6</v>
      </c>
      <c r="BN131" s="3">
        <f t="shared" si="101"/>
        <v>696157.29999999993</v>
      </c>
      <c r="BO131" s="3">
        <f t="shared" si="101"/>
        <v>2151755.9500000002</v>
      </c>
      <c r="BP131" s="3">
        <f t="shared" si="101"/>
        <v>1892782.15</v>
      </c>
      <c r="BQ131" s="3">
        <f t="shared" si="101"/>
        <v>1534714.3</v>
      </c>
      <c r="BR131" s="3">
        <f t="shared" si="101"/>
        <v>9446468.9499999993</v>
      </c>
      <c r="BS131" s="3">
        <f t="shared" si="101"/>
        <v>1144598.05</v>
      </c>
      <c r="BT131" s="3">
        <f t="shared" si="101"/>
        <v>1584350.45</v>
      </c>
      <c r="BU131" s="3">
        <f t="shared" si="101"/>
        <v>115972.1</v>
      </c>
      <c r="BV131" s="3">
        <f t="shared" si="101"/>
        <v>172191.45</v>
      </c>
      <c r="BW131" s="3">
        <f t="shared" si="101"/>
        <v>4899878.75</v>
      </c>
      <c r="BX131" s="3">
        <f t="shared" si="101"/>
        <v>313648.5</v>
      </c>
      <c r="BY131" s="3">
        <f t="shared" si="101"/>
        <v>717240.35</v>
      </c>
      <c r="BZ131" s="3">
        <f t="shared" si="101"/>
        <v>821043.55</v>
      </c>
    </row>
    <row r="132" spans="1:80" x14ac:dyDescent="0.2">
      <c r="B132" t="s">
        <v>84</v>
      </c>
      <c r="C132" s="3">
        <f t="shared" ref="C132:AH132" si="102">C94</f>
        <v>96099527.300000027</v>
      </c>
      <c r="D132" s="3">
        <f t="shared" si="102"/>
        <v>14944757.201211354</v>
      </c>
      <c r="E132" s="3">
        <f t="shared" si="102"/>
        <v>1500709.473745469</v>
      </c>
      <c r="F132" s="3">
        <f t="shared" si="102"/>
        <v>235881.96803155175</v>
      </c>
      <c r="G132" s="3">
        <f t="shared" si="102"/>
        <v>194690.58892154251</v>
      </c>
      <c r="H132" s="3">
        <f t="shared" si="102"/>
        <v>891579.17730758525</v>
      </c>
      <c r="I132" s="3">
        <f t="shared" si="102"/>
        <v>1751411.4160284607</v>
      </c>
      <c r="J132" s="3">
        <f t="shared" si="102"/>
        <v>710835.64841674606</v>
      </c>
      <c r="K132" s="3">
        <f t="shared" si="102"/>
        <v>160214.85558183488</v>
      </c>
      <c r="L132" s="3">
        <f t="shared" si="102"/>
        <v>352647.21909654251</v>
      </c>
      <c r="M132" s="3">
        <f t="shared" si="102"/>
        <v>183652.36076350027</v>
      </c>
      <c r="N132" s="3">
        <f t="shared" si="102"/>
        <v>383166.91117146442</v>
      </c>
      <c r="O132" s="3">
        <f t="shared" si="102"/>
        <v>1333859.4747382875</v>
      </c>
      <c r="P132" s="3">
        <f t="shared" si="102"/>
        <v>1532786.3096990576</v>
      </c>
      <c r="Q132" s="3">
        <f t="shared" si="102"/>
        <v>1435205.4371389905</v>
      </c>
      <c r="R132" s="3">
        <f t="shared" si="102"/>
        <v>559613.58712615247</v>
      </c>
      <c r="S132" s="3">
        <f t="shared" si="102"/>
        <v>1057710.5755155592</v>
      </c>
      <c r="T132" s="3">
        <f t="shared" si="102"/>
        <v>1523278.8861018431</v>
      </c>
      <c r="U132" s="3">
        <f t="shared" si="102"/>
        <v>786573.39603577461</v>
      </c>
      <c r="V132" s="3">
        <f t="shared" si="102"/>
        <v>1094387.4369728412</v>
      </c>
      <c r="W132" s="3">
        <f t="shared" si="102"/>
        <v>1315228.5210876523</v>
      </c>
      <c r="X132" s="3">
        <f t="shared" si="102"/>
        <v>2111591.3175592804</v>
      </c>
      <c r="Y132" s="3">
        <f t="shared" si="102"/>
        <v>737024.85860995762</v>
      </c>
      <c r="Z132" s="3">
        <f t="shared" si="102"/>
        <v>361712.70829405217</v>
      </c>
      <c r="AA132" s="3">
        <f t="shared" si="102"/>
        <v>2110390.893655567</v>
      </c>
      <c r="AB132" s="3">
        <f t="shared" si="102"/>
        <v>252124.44668013608</v>
      </c>
      <c r="AC132" s="3">
        <f t="shared" si="102"/>
        <v>1661533.0765299283</v>
      </c>
      <c r="AD132" s="3">
        <f t="shared" si="102"/>
        <v>459765.95390848286</v>
      </c>
      <c r="AE132" s="3">
        <f t="shared" si="102"/>
        <v>1219231.0569291736</v>
      </c>
      <c r="AF132" s="3">
        <f t="shared" si="102"/>
        <v>574775.93798876833</v>
      </c>
      <c r="AG132" s="3">
        <f t="shared" si="102"/>
        <v>1172103.0959086143</v>
      </c>
      <c r="AH132" s="3">
        <f t="shared" si="102"/>
        <v>2391634.3722389759</v>
      </c>
      <c r="AI132" s="3">
        <f t="shared" ref="AI132:BL132" si="103">AI94</f>
        <v>873069.85169957089</v>
      </c>
      <c r="AJ132" s="3">
        <f t="shared" si="103"/>
        <v>850794.68419213558</v>
      </c>
      <c r="AK132" s="3">
        <f t="shared" si="103"/>
        <v>1058546.4604987223</v>
      </c>
      <c r="AL132" s="3">
        <f t="shared" si="103"/>
        <v>911249.48688401689</v>
      </c>
      <c r="AM132" s="3">
        <f t="shared" si="103"/>
        <v>1454328.3255916191</v>
      </c>
      <c r="AN132" s="3">
        <f t="shared" si="103"/>
        <v>364289.42196613277</v>
      </c>
      <c r="AO132" s="3">
        <f t="shared" si="103"/>
        <v>1630686.7147764869</v>
      </c>
      <c r="AP132" s="3">
        <f t="shared" si="103"/>
        <v>1016072.1960885542</v>
      </c>
      <c r="AQ132" s="3">
        <f t="shared" si="103"/>
        <v>1022731.7197802493</v>
      </c>
      <c r="AR132" s="3">
        <f t="shared" si="103"/>
        <v>812244.97074267885</v>
      </c>
      <c r="AS132" s="3">
        <f t="shared" si="103"/>
        <v>463242.49358793028</v>
      </c>
      <c r="AT132" s="3">
        <f t="shared" si="103"/>
        <v>359644.74389674509</v>
      </c>
      <c r="AU132" s="3">
        <f t="shared" si="103"/>
        <v>619305.93782724696</v>
      </c>
      <c r="AV132" s="3">
        <f t="shared" si="103"/>
        <v>488464.76371903683</v>
      </c>
      <c r="AW132" s="3">
        <f t="shared" si="103"/>
        <v>748009.27757837786</v>
      </c>
      <c r="AX132" s="3">
        <f t="shared" si="103"/>
        <v>1089302.8612268842</v>
      </c>
      <c r="AY132" s="3">
        <f t="shared" si="103"/>
        <v>1169965.8742945122</v>
      </c>
      <c r="AZ132" s="3">
        <f t="shared" si="103"/>
        <v>780818.59166508156</v>
      </c>
      <c r="BA132" s="3">
        <f t="shared" si="103"/>
        <v>6863355.1458305866</v>
      </c>
      <c r="BB132" s="3">
        <f t="shared" si="103"/>
        <v>1824506.1816785827</v>
      </c>
      <c r="BC132" s="3">
        <f t="shared" si="103"/>
        <v>720955.97608795634</v>
      </c>
      <c r="BD132" s="3">
        <f t="shared" si="103"/>
        <v>544398.47995621362</v>
      </c>
      <c r="BE132" s="3">
        <f t="shared" si="103"/>
        <v>785820.55930148589</v>
      </c>
      <c r="BF132" s="3">
        <f t="shared" si="103"/>
        <v>1308944.1802086006</v>
      </c>
      <c r="BG132" s="3">
        <f t="shared" si="103"/>
        <v>271014.92431054881</v>
      </c>
      <c r="BH132" s="3">
        <f t="shared" ref="BH132" si="104">BH94</f>
        <v>831771.3720212843</v>
      </c>
      <c r="BI132" s="3">
        <f t="shared" si="103"/>
        <v>753152.08116753935</v>
      </c>
      <c r="BJ132" s="3">
        <f t="shared" si="103"/>
        <v>231712.32111282329</v>
      </c>
      <c r="BK132" s="3">
        <f t="shared" si="103"/>
        <v>382017.95422576688</v>
      </c>
      <c r="BL132" s="3">
        <f t="shared" si="103"/>
        <v>1598564.9155706239</v>
      </c>
      <c r="BM132" s="3">
        <f t="shared" ref="BM132:BZ132" si="105">BM94</f>
        <v>796367.53731870116</v>
      </c>
      <c r="BN132" s="3">
        <f t="shared" si="105"/>
        <v>1012158.4513495642</v>
      </c>
      <c r="BO132" s="3">
        <f t="shared" si="105"/>
        <v>2170492.8098174934</v>
      </c>
      <c r="BP132" s="3">
        <f t="shared" si="105"/>
        <v>1468210.6218540275</v>
      </c>
      <c r="BQ132" s="3">
        <f t="shared" si="105"/>
        <v>559576.21843472298</v>
      </c>
      <c r="BR132" s="3">
        <f t="shared" si="105"/>
        <v>4539308.3360478291</v>
      </c>
      <c r="BS132" s="3">
        <f t="shared" si="105"/>
        <v>1004650.7101435157</v>
      </c>
      <c r="BT132" s="3">
        <f t="shared" si="105"/>
        <v>895141.79730679013</v>
      </c>
      <c r="BU132" s="3">
        <f t="shared" si="105"/>
        <v>257163.40327992768</v>
      </c>
      <c r="BV132" s="3">
        <f t="shared" si="105"/>
        <v>533393.88362045796</v>
      </c>
      <c r="BW132" s="3">
        <f t="shared" si="105"/>
        <v>3456427.6828698786</v>
      </c>
      <c r="BX132" s="3">
        <f t="shared" si="105"/>
        <v>352886.21762494626</v>
      </c>
      <c r="BY132" s="3">
        <f t="shared" si="105"/>
        <v>607075.45854858216</v>
      </c>
      <c r="BZ132" s="3">
        <f t="shared" si="105"/>
        <v>1617613.5413004465</v>
      </c>
    </row>
    <row r="133" spans="1:80" x14ac:dyDescent="0.2">
      <c r="B133" t="s">
        <v>85</v>
      </c>
      <c r="C133" s="3">
        <f t="shared" ref="C133:AH133" si="106">C99</f>
        <v>1565406.0599999996</v>
      </c>
      <c r="D133" s="3">
        <f t="shared" si="106"/>
        <v>327957</v>
      </c>
      <c r="E133" s="3">
        <f t="shared" si="106"/>
        <v>31901.88</v>
      </c>
      <c r="F133" s="3">
        <f t="shared" si="106"/>
        <v>3307.1</v>
      </c>
      <c r="G133" s="3">
        <f t="shared" si="106"/>
        <v>2928.3</v>
      </c>
      <c r="H133" s="3">
        <f t="shared" si="106"/>
        <v>10900.6</v>
      </c>
      <c r="I133" s="3">
        <f t="shared" si="106"/>
        <v>16200.84</v>
      </c>
      <c r="J133" s="3">
        <f t="shared" si="106"/>
        <v>11989.2</v>
      </c>
      <c r="K133" s="3">
        <f t="shared" si="106"/>
        <v>1989.75</v>
      </c>
      <c r="L133" s="3">
        <f t="shared" si="106"/>
        <v>0</v>
      </c>
      <c r="M133" s="3">
        <f t="shared" si="106"/>
        <v>2744.15</v>
      </c>
      <c r="N133" s="3">
        <f t="shared" si="106"/>
        <v>6128.85</v>
      </c>
      <c r="O133" s="3">
        <f t="shared" si="106"/>
        <v>16056</v>
      </c>
      <c r="P133" s="3">
        <f t="shared" si="106"/>
        <v>38541.4</v>
      </c>
      <c r="Q133" s="3">
        <f t="shared" si="106"/>
        <v>21571.1</v>
      </c>
      <c r="R133" s="3">
        <f t="shared" si="106"/>
        <v>11996.55</v>
      </c>
      <c r="S133" s="3">
        <f t="shared" si="106"/>
        <v>12685.72</v>
      </c>
      <c r="T133" s="3">
        <f t="shared" si="106"/>
        <v>29048.89</v>
      </c>
      <c r="U133" s="3">
        <f t="shared" si="106"/>
        <v>7515.2</v>
      </c>
      <c r="V133" s="3">
        <f t="shared" si="106"/>
        <v>9290.1</v>
      </c>
      <c r="W133" s="3">
        <f t="shared" si="106"/>
        <v>18349.599999999999</v>
      </c>
      <c r="X133" s="3">
        <f t="shared" si="106"/>
        <v>16614.939999999999</v>
      </c>
      <c r="Y133" s="3">
        <f t="shared" si="106"/>
        <v>7895.6</v>
      </c>
      <c r="Z133" s="3">
        <f t="shared" si="106"/>
        <v>3798.75</v>
      </c>
      <c r="AA133" s="3">
        <f t="shared" si="106"/>
        <v>42459.8</v>
      </c>
      <c r="AB133" s="3">
        <f t="shared" si="106"/>
        <v>2122.8000000000002</v>
      </c>
      <c r="AC133" s="3">
        <f t="shared" si="106"/>
        <v>25045.8</v>
      </c>
      <c r="AD133" s="3">
        <f t="shared" si="106"/>
        <v>4004.8</v>
      </c>
      <c r="AE133" s="3">
        <f t="shared" si="106"/>
        <v>26252.400000000001</v>
      </c>
      <c r="AF133" s="3">
        <f t="shared" si="106"/>
        <v>7764.6</v>
      </c>
      <c r="AG133" s="3">
        <f t="shared" si="106"/>
        <v>25399.35</v>
      </c>
      <c r="AH133" s="3">
        <f t="shared" si="106"/>
        <v>33752</v>
      </c>
      <c r="AI133" s="3">
        <f t="shared" ref="AI133:BL133" si="107">AI99</f>
        <v>6267</v>
      </c>
      <c r="AJ133" s="3">
        <f t="shared" si="107"/>
        <v>11550.1</v>
      </c>
      <c r="AK133" s="3">
        <f t="shared" si="107"/>
        <v>12348.55</v>
      </c>
      <c r="AL133" s="3">
        <f t="shared" si="107"/>
        <v>9725.2999999999993</v>
      </c>
      <c r="AM133" s="3">
        <f t="shared" si="107"/>
        <v>11665.5</v>
      </c>
      <c r="AN133" s="3">
        <f t="shared" si="107"/>
        <v>25858.45</v>
      </c>
      <c r="AO133" s="3">
        <f t="shared" si="107"/>
        <v>27546.75</v>
      </c>
      <c r="AP133" s="3">
        <f t="shared" si="107"/>
        <v>11703</v>
      </c>
      <c r="AQ133" s="3">
        <f t="shared" si="107"/>
        <v>11991.8</v>
      </c>
      <c r="AR133" s="3">
        <f t="shared" si="107"/>
        <v>184.2</v>
      </c>
      <c r="AS133" s="3">
        <f t="shared" si="107"/>
        <v>5677.95</v>
      </c>
      <c r="AT133" s="3">
        <f t="shared" si="107"/>
        <v>6040</v>
      </c>
      <c r="AU133" s="3">
        <f t="shared" si="107"/>
        <v>6854.84</v>
      </c>
      <c r="AV133" s="3">
        <f t="shared" si="107"/>
        <v>5593.6</v>
      </c>
      <c r="AW133" s="3">
        <f t="shared" si="107"/>
        <v>7191.9</v>
      </c>
      <c r="AX133" s="3">
        <f t="shared" si="107"/>
        <v>10881.45</v>
      </c>
      <c r="AY133" s="3">
        <f t="shared" si="107"/>
        <v>26707.5</v>
      </c>
      <c r="AZ133" s="3">
        <f t="shared" si="107"/>
        <v>13653.1</v>
      </c>
      <c r="BA133" s="3">
        <f t="shared" si="107"/>
        <v>102585.45</v>
      </c>
      <c r="BB133" s="3">
        <f t="shared" si="107"/>
        <v>22384.95</v>
      </c>
      <c r="BC133" s="3">
        <f t="shared" si="107"/>
        <v>7420.4000000000005</v>
      </c>
      <c r="BD133" s="3">
        <f t="shared" si="107"/>
        <v>19859.8</v>
      </c>
      <c r="BE133" s="3">
        <f t="shared" si="107"/>
        <v>12341.82</v>
      </c>
      <c r="BF133" s="3">
        <f t="shared" si="107"/>
        <v>33783.199999999997</v>
      </c>
      <c r="BG133" s="3">
        <f t="shared" si="107"/>
        <v>4306.3500000000004</v>
      </c>
      <c r="BH133" s="3">
        <f t="shared" ref="BH133" si="108">BH99</f>
        <v>22370</v>
      </c>
      <c r="BI133" s="3">
        <f t="shared" si="107"/>
        <v>16248.4</v>
      </c>
      <c r="BJ133" s="3">
        <f t="shared" si="107"/>
        <v>3204.8</v>
      </c>
      <c r="BK133" s="3">
        <f t="shared" si="107"/>
        <v>9907.24</v>
      </c>
      <c r="BL133" s="3">
        <f t="shared" si="107"/>
        <v>30406.75</v>
      </c>
      <c r="BM133" s="3">
        <f t="shared" ref="BM133:BZ133" si="109">BM99</f>
        <v>7014.71</v>
      </c>
      <c r="BN133" s="3">
        <f t="shared" si="109"/>
        <v>13719</v>
      </c>
      <c r="BO133" s="3">
        <f t="shared" si="109"/>
        <v>29558.5</v>
      </c>
      <c r="BP133" s="3">
        <f t="shared" si="109"/>
        <v>30483.15</v>
      </c>
      <c r="BQ133" s="3">
        <f t="shared" si="109"/>
        <v>12910.25</v>
      </c>
      <c r="BR133" s="3">
        <f t="shared" si="109"/>
        <v>101215.45</v>
      </c>
      <c r="BS133" s="3">
        <f t="shared" si="109"/>
        <v>8779.85</v>
      </c>
      <c r="BT133" s="3">
        <f t="shared" si="109"/>
        <v>9798.4500000000007</v>
      </c>
      <c r="BU133" s="3">
        <f t="shared" si="109"/>
        <v>1268.4000000000001</v>
      </c>
      <c r="BV133" s="3">
        <f t="shared" si="109"/>
        <v>7992.5</v>
      </c>
      <c r="BW133" s="3">
        <f t="shared" si="109"/>
        <v>31763.24</v>
      </c>
      <c r="BX133" s="3">
        <f t="shared" si="109"/>
        <v>5595.35</v>
      </c>
      <c r="BY133" s="3">
        <f t="shared" si="109"/>
        <v>12717.14</v>
      </c>
      <c r="BZ133" s="3">
        <f t="shared" si="109"/>
        <v>20116.849999999999</v>
      </c>
    </row>
    <row r="134" spans="1:80" x14ac:dyDescent="0.2">
      <c r="B134" t="s">
        <v>2</v>
      </c>
      <c r="C134" s="3">
        <f t="shared" ref="C134:AH134" si="110">C104</f>
        <v>64401961.040000014</v>
      </c>
      <c r="D134" s="3">
        <f t="shared" si="110"/>
        <v>9757685</v>
      </c>
      <c r="E134" s="3">
        <f t="shared" si="110"/>
        <v>786866</v>
      </c>
      <c r="F134" s="3">
        <f t="shared" si="110"/>
        <v>107067.5</v>
      </c>
      <c r="G134" s="3">
        <f t="shared" si="110"/>
        <v>70239</v>
      </c>
      <c r="H134" s="3">
        <f t="shared" si="110"/>
        <v>603822.6</v>
      </c>
      <c r="I134" s="3">
        <f t="shared" si="110"/>
        <v>1589486.53</v>
      </c>
      <c r="J134" s="3">
        <f t="shared" si="110"/>
        <v>363574.5</v>
      </c>
      <c r="K134" s="3">
        <f t="shared" si="110"/>
        <v>283035.88</v>
      </c>
      <c r="L134" s="3">
        <f t="shared" si="110"/>
        <v>480473.5</v>
      </c>
      <c r="M134" s="3">
        <f t="shared" si="110"/>
        <v>76943.33</v>
      </c>
      <c r="N134" s="3">
        <f t="shared" si="110"/>
        <v>252361.4</v>
      </c>
      <c r="O134" s="3">
        <f t="shared" si="110"/>
        <v>1399283</v>
      </c>
      <c r="P134" s="3">
        <f t="shared" si="110"/>
        <v>1213580.95</v>
      </c>
      <c r="Q134" s="3">
        <f t="shared" si="110"/>
        <v>1519580.1</v>
      </c>
      <c r="R134" s="3">
        <f t="shared" si="110"/>
        <v>426593.5</v>
      </c>
      <c r="S134" s="3">
        <f t="shared" si="110"/>
        <v>2496318.44</v>
      </c>
      <c r="T134" s="3">
        <f t="shared" si="110"/>
        <v>935876.87</v>
      </c>
      <c r="U134" s="3">
        <f t="shared" si="110"/>
        <v>431011.13</v>
      </c>
      <c r="V134" s="3">
        <f t="shared" si="110"/>
        <v>872968.05</v>
      </c>
      <c r="W134" s="3">
        <f t="shared" si="110"/>
        <v>1126628.55</v>
      </c>
      <c r="X134" s="3">
        <f t="shared" si="110"/>
        <v>948373.4</v>
      </c>
      <c r="Y134" s="3">
        <f t="shared" si="110"/>
        <v>754394.95</v>
      </c>
      <c r="Z134" s="3">
        <f t="shared" si="110"/>
        <v>186095.75</v>
      </c>
      <c r="AA134" s="3">
        <f t="shared" si="110"/>
        <v>978296.25</v>
      </c>
      <c r="AB134" s="3">
        <f t="shared" si="110"/>
        <v>176242.95</v>
      </c>
      <c r="AC134" s="3">
        <f t="shared" si="110"/>
        <v>612772.21</v>
      </c>
      <c r="AD134" s="3">
        <f t="shared" si="110"/>
        <v>210477.6</v>
      </c>
      <c r="AE134" s="3">
        <f t="shared" si="110"/>
        <v>682727.25</v>
      </c>
      <c r="AF134" s="3">
        <f t="shared" si="110"/>
        <v>523367.25</v>
      </c>
      <c r="AG134" s="3">
        <f t="shared" si="110"/>
        <v>908985.85</v>
      </c>
      <c r="AH134" s="3">
        <f t="shared" si="110"/>
        <v>1072016.6000000001</v>
      </c>
      <c r="AI134" s="3">
        <f t="shared" ref="AI134:BL134" si="111">AI104</f>
        <v>540529</v>
      </c>
      <c r="AJ134" s="3">
        <f t="shared" si="111"/>
        <v>403969.75</v>
      </c>
      <c r="AK134" s="3">
        <f t="shared" si="111"/>
        <v>273309.55</v>
      </c>
      <c r="AL134" s="3">
        <f t="shared" si="111"/>
        <v>616935.4</v>
      </c>
      <c r="AM134" s="3">
        <f t="shared" si="111"/>
        <v>817600.35</v>
      </c>
      <c r="AN134" s="3">
        <f t="shared" si="111"/>
        <v>117032.05</v>
      </c>
      <c r="AO134" s="3">
        <f t="shared" si="111"/>
        <v>1017207.55</v>
      </c>
      <c r="AP134" s="3">
        <f t="shared" si="111"/>
        <v>586120.1</v>
      </c>
      <c r="AQ134" s="3">
        <f t="shared" si="111"/>
        <v>427020.95</v>
      </c>
      <c r="AR134" s="3">
        <f t="shared" si="111"/>
        <v>525513.80000000005</v>
      </c>
      <c r="AS134" s="3">
        <f t="shared" si="111"/>
        <v>320094.95</v>
      </c>
      <c r="AT134" s="3">
        <f t="shared" si="111"/>
        <v>384148</v>
      </c>
      <c r="AU134" s="3">
        <f t="shared" si="111"/>
        <v>316905.34999999998</v>
      </c>
      <c r="AV134" s="3">
        <f t="shared" si="111"/>
        <v>263721.15000000002</v>
      </c>
      <c r="AW134" s="3">
        <f t="shared" si="111"/>
        <v>381704.25</v>
      </c>
      <c r="AX134" s="3">
        <f t="shared" si="111"/>
        <v>1005066.6</v>
      </c>
      <c r="AY134" s="3">
        <f t="shared" si="111"/>
        <v>735739.25</v>
      </c>
      <c r="AZ134" s="3">
        <f t="shared" si="111"/>
        <v>676402.95</v>
      </c>
      <c r="BA134" s="3">
        <f t="shared" si="111"/>
        <v>3299613.25</v>
      </c>
      <c r="BB134" s="3">
        <f t="shared" si="111"/>
        <v>1534940.85</v>
      </c>
      <c r="BC134" s="3">
        <f t="shared" si="111"/>
        <v>478772.8</v>
      </c>
      <c r="BD134" s="3">
        <f t="shared" si="111"/>
        <v>458207.4</v>
      </c>
      <c r="BE134" s="3">
        <f t="shared" si="111"/>
        <v>505987.45</v>
      </c>
      <c r="BF134" s="3">
        <f t="shared" si="111"/>
        <v>786684.55</v>
      </c>
      <c r="BG134" s="3">
        <f t="shared" si="111"/>
        <v>256596</v>
      </c>
      <c r="BH134" s="3">
        <f t="shared" ref="BH134" si="112">BH104</f>
        <v>760993.06</v>
      </c>
      <c r="BI134" s="3">
        <f t="shared" si="111"/>
        <v>759097.05</v>
      </c>
      <c r="BJ134" s="3">
        <f t="shared" si="111"/>
        <v>295190.21000000002</v>
      </c>
      <c r="BK134" s="3">
        <f t="shared" si="111"/>
        <v>158356.5</v>
      </c>
      <c r="BL134" s="3">
        <f t="shared" si="111"/>
        <v>1208003.6499999999</v>
      </c>
      <c r="BM134" s="3">
        <f t="shared" ref="BM134:BZ134" si="113">BM104</f>
        <v>406374.63</v>
      </c>
      <c r="BN134" s="3">
        <f t="shared" si="113"/>
        <v>944996.3</v>
      </c>
      <c r="BO134" s="3">
        <f t="shared" si="113"/>
        <v>1797239.25</v>
      </c>
      <c r="BP134" s="3">
        <f t="shared" si="113"/>
        <v>889151.85</v>
      </c>
      <c r="BQ134" s="3">
        <f t="shared" si="113"/>
        <v>343061.2</v>
      </c>
      <c r="BR134" s="3">
        <f t="shared" si="113"/>
        <v>2543488</v>
      </c>
      <c r="BS134" s="3">
        <f t="shared" si="113"/>
        <v>843476.95</v>
      </c>
      <c r="BT134" s="3">
        <f t="shared" si="113"/>
        <v>361093.25</v>
      </c>
      <c r="BU134" s="3">
        <f t="shared" si="113"/>
        <v>140355.29999999999</v>
      </c>
      <c r="BV134" s="3">
        <f t="shared" si="113"/>
        <v>313785.84999999998</v>
      </c>
      <c r="BW134" s="3">
        <f t="shared" si="113"/>
        <v>2170204.9500000002</v>
      </c>
      <c r="BX134" s="3">
        <f t="shared" si="113"/>
        <v>178326</v>
      </c>
      <c r="BY134" s="3">
        <f t="shared" si="113"/>
        <v>300883.3</v>
      </c>
      <c r="BZ134" s="3">
        <f t="shared" si="113"/>
        <v>1410914.55</v>
      </c>
    </row>
    <row r="135" spans="1:80" x14ac:dyDescent="0.2">
      <c r="B135" t="s">
        <v>3</v>
      </c>
      <c r="C135" s="3">
        <f t="shared" ref="C135:AH135" si="114">C109</f>
        <v>99162376.300000027</v>
      </c>
      <c r="D135" s="3">
        <f t="shared" si="114"/>
        <v>13596104.300000001</v>
      </c>
      <c r="E135" s="3">
        <f t="shared" si="114"/>
        <v>1881725.55</v>
      </c>
      <c r="F135" s="3">
        <f t="shared" si="114"/>
        <v>53156.800000000003</v>
      </c>
      <c r="G135" s="3">
        <f t="shared" si="114"/>
        <v>64573.25</v>
      </c>
      <c r="H135" s="3">
        <f t="shared" si="114"/>
        <v>1799437.35</v>
      </c>
      <c r="I135" s="3">
        <f t="shared" si="114"/>
        <v>2188627.5</v>
      </c>
      <c r="J135" s="3">
        <f t="shared" si="114"/>
        <v>490079.45</v>
      </c>
      <c r="K135" s="3">
        <f t="shared" si="114"/>
        <v>525105.69999999995</v>
      </c>
      <c r="L135" s="3">
        <f t="shared" si="114"/>
        <v>228336.6</v>
      </c>
      <c r="M135" s="3">
        <f t="shared" si="114"/>
        <v>154164.5</v>
      </c>
      <c r="N135" s="3">
        <f t="shared" si="114"/>
        <v>331341.09999999998</v>
      </c>
      <c r="O135" s="3">
        <f t="shared" si="114"/>
        <v>2521584.4</v>
      </c>
      <c r="P135" s="3">
        <f t="shared" si="114"/>
        <v>2743561.35</v>
      </c>
      <c r="Q135" s="3">
        <f t="shared" si="114"/>
        <v>1786285.6500000001</v>
      </c>
      <c r="R135" s="3">
        <f t="shared" si="114"/>
        <v>476445.5</v>
      </c>
      <c r="S135" s="3">
        <f t="shared" si="114"/>
        <v>2042756.25</v>
      </c>
      <c r="T135" s="3">
        <f t="shared" si="114"/>
        <v>2670683.1999999997</v>
      </c>
      <c r="U135" s="3">
        <f t="shared" si="114"/>
        <v>938662.1</v>
      </c>
      <c r="V135" s="3">
        <f t="shared" si="114"/>
        <v>630562.94999999995</v>
      </c>
      <c r="W135" s="3">
        <f t="shared" si="114"/>
        <v>1376879.65</v>
      </c>
      <c r="X135" s="3">
        <f t="shared" si="114"/>
        <v>1939193</v>
      </c>
      <c r="Y135" s="3">
        <f t="shared" si="114"/>
        <v>991707.45</v>
      </c>
      <c r="Z135" s="3">
        <f t="shared" si="114"/>
        <v>424390.94999999995</v>
      </c>
      <c r="AA135" s="3">
        <f t="shared" si="114"/>
        <v>3346582.1999999997</v>
      </c>
      <c r="AB135" s="3">
        <f t="shared" si="114"/>
        <v>446733.3</v>
      </c>
      <c r="AC135" s="3">
        <f t="shared" si="114"/>
        <v>1969343.3499999999</v>
      </c>
      <c r="AD135" s="3">
        <f t="shared" si="114"/>
        <v>323063.89999999997</v>
      </c>
      <c r="AE135" s="3">
        <f t="shared" si="114"/>
        <v>1154092.7</v>
      </c>
      <c r="AF135" s="3">
        <f t="shared" si="114"/>
        <v>863651.20000000007</v>
      </c>
      <c r="AG135" s="3">
        <f t="shared" si="114"/>
        <v>947062.05</v>
      </c>
      <c r="AH135" s="3">
        <f t="shared" si="114"/>
        <v>2381266.4500000002</v>
      </c>
      <c r="AI135" s="3">
        <f t="shared" ref="AI135:BL135" si="115">AI109</f>
        <v>1270723.6499999999</v>
      </c>
      <c r="AJ135" s="3">
        <f t="shared" si="115"/>
        <v>546994</v>
      </c>
      <c r="AK135" s="3">
        <f t="shared" si="115"/>
        <v>-11384.650000000001</v>
      </c>
      <c r="AL135" s="3">
        <f t="shared" si="115"/>
        <v>655358.94999999995</v>
      </c>
      <c r="AM135" s="3">
        <f t="shared" si="115"/>
        <v>1124005.75</v>
      </c>
      <c r="AN135" s="3">
        <f t="shared" si="115"/>
        <v>96443.9</v>
      </c>
      <c r="AO135" s="3">
        <f t="shared" si="115"/>
        <v>855513.59999999998</v>
      </c>
      <c r="AP135" s="3">
        <f t="shared" si="115"/>
        <v>1018163.05</v>
      </c>
      <c r="AQ135" s="3">
        <f t="shared" si="115"/>
        <v>698384.05</v>
      </c>
      <c r="AR135" s="3">
        <f t="shared" si="115"/>
        <v>840830.15</v>
      </c>
      <c r="AS135" s="3">
        <f t="shared" si="115"/>
        <v>591620.9</v>
      </c>
      <c r="AT135" s="3">
        <f t="shared" si="115"/>
        <v>283981.84999999998</v>
      </c>
      <c r="AU135" s="3">
        <f t="shared" si="115"/>
        <v>565098.85</v>
      </c>
      <c r="AV135" s="3">
        <f t="shared" si="115"/>
        <v>510141.7</v>
      </c>
      <c r="AW135" s="3">
        <f t="shared" si="115"/>
        <v>460602.35</v>
      </c>
      <c r="AX135" s="3">
        <f t="shared" si="115"/>
        <v>1957035</v>
      </c>
      <c r="AY135" s="3">
        <f t="shared" si="115"/>
        <v>925459</v>
      </c>
      <c r="AZ135" s="3">
        <f t="shared" si="115"/>
        <v>1016948.15</v>
      </c>
      <c r="BA135" s="3">
        <f t="shared" si="115"/>
        <v>6682842.0499999998</v>
      </c>
      <c r="BB135" s="3">
        <f t="shared" si="115"/>
        <v>1877402.55</v>
      </c>
      <c r="BC135" s="3">
        <f t="shared" si="115"/>
        <v>760393.4</v>
      </c>
      <c r="BD135" s="3">
        <f t="shared" si="115"/>
        <v>379997.45</v>
      </c>
      <c r="BE135" s="3">
        <f t="shared" si="115"/>
        <v>758197.4</v>
      </c>
      <c r="BF135" s="3">
        <f t="shared" si="115"/>
        <v>994714.55</v>
      </c>
      <c r="BG135" s="3">
        <f t="shared" si="115"/>
        <v>128825.15</v>
      </c>
      <c r="BH135" s="3">
        <f t="shared" ref="BH135" si="116">BH109</f>
        <v>1498975.75</v>
      </c>
      <c r="BI135" s="3">
        <f t="shared" si="115"/>
        <v>664539.55000000005</v>
      </c>
      <c r="BJ135" s="3">
        <f t="shared" si="115"/>
        <v>251829.2</v>
      </c>
      <c r="BK135" s="3">
        <f t="shared" si="115"/>
        <v>185190.1</v>
      </c>
      <c r="BL135" s="3">
        <f t="shared" si="115"/>
        <v>1945599.85</v>
      </c>
      <c r="BM135" s="3">
        <f t="shared" ref="BM135:BZ135" si="117">BM109</f>
        <v>696468.9</v>
      </c>
      <c r="BN135" s="3">
        <f t="shared" si="117"/>
        <v>766614.75</v>
      </c>
      <c r="BO135" s="3">
        <f t="shared" si="117"/>
        <v>2947415.5500000003</v>
      </c>
      <c r="BP135" s="3">
        <f t="shared" si="117"/>
        <v>665968.35000000009</v>
      </c>
      <c r="BQ135" s="3">
        <f t="shared" si="117"/>
        <v>405335.5</v>
      </c>
      <c r="BR135" s="3">
        <f t="shared" si="117"/>
        <v>4023513.5500000003</v>
      </c>
      <c r="BS135" s="3">
        <f t="shared" si="117"/>
        <v>865661.64999999991</v>
      </c>
      <c r="BT135" s="3">
        <f t="shared" si="117"/>
        <v>928497.25</v>
      </c>
      <c r="BU135" s="3">
        <f t="shared" si="117"/>
        <v>233324.7</v>
      </c>
      <c r="BV135" s="3">
        <f t="shared" si="117"/>
        <v>476320.94999999995</v>
      </c>
      <c r="BW135" s="3">
        <f t="shared" si="117"/>
        <v>3331027.8000000003</v>
      </c>
      <c r="BX135" s="3">
        <f t="shared" si="117"/>
        <v>480755.05</v>
      </c>
      <c r="BY135" s="3">
        <f t="shared" si="117"/>
        <v>447844.19999999995</v>
      </c>
      <c r="BZ135" s="3">
        <f t="shared" si="117"/>
        <v>2072041.15</v>
      </c>
    </row>
    <row r="136" spans="1:80" x14ac:dyDescent="0.2">
      <c r="B136" t="s">
        <v>79</v>
      </c>
      <c r="C136" s="3">
        <f>SUM(C129:C135)</f>
        <v>1772043399.3655171</v>
      </c>
      <c r="D136" s="3">
        <f t="shared" ref="D136:BM136" si="118">SUM(D129:D135)</f>
        <v>281370362.23246777</v>
      </c>
      <c r="E136" s="3">
        <f t="shared" si="118"/>
        <v>27327095.867495671</v>
      </c>
      <c r="F136" s="3">
        <f t="shared" si="118"/>
        <v>3862278.5031422894</v>
      </c>
      <c r="G136" s="3">
        <f t="shared" si="118"/>
        <v>3067707.8203186374</v>
      </c>
      <c r="H136" s="3">
        <f t="shared" si="118"/>
        <v>22773329.329091378</v>
      </c>
      <c r="I136" s="3">
        <f t="shared" si="118"/>
        <v>36177768.009080455</v>
      </c>
      <c r="J136" s="3">
        <f t="shared" si="118"/>
        <v>12880848.987080511</v>
      </c>
      <c r="K136" s="3">
        <f t="shared" si="118"/>
        <v>3319519.7035786128</v>
      </c>
      <c r="L136" s="3">
        <f t="shared" si="118"/>
        <v>6700385.21590997</v>
      </c>
      <c r="M136" s="3">
        <f t="shared" si="118"/>
        <v>3211369.7449371857</v>
      </c>
      <c r="N136" s="3">
        <f t="shared" si="118"/>
        <v>6877818.2839642316</v>
      </c>
      <c r="O136" s="3">
        <f t="shared" si="118"/>
        <v>27040357.380664602</v>
      </c>
      <c r="P136" s="3">
        <f t="shared" si="118"/>
        <v>27685835.720329542</v>
      </c>
      <c r="Q136" s="3">
        <f t="shared" si="118"/>
        <v>28017979.026714481</v>
      </c>
      <c r="R136" s="3">
        <f t="shared" si="118"/>
        <v>9435658.4856334347</v>
      </c>
      <c r="S136" s="3">
        <f t="shared" si="118"/>
        <v>20153746.929695006</v>
      </c>
      <c r="T136" s="3">
        <f t="shared" si="118"/>
        <v>30602509.507609304</v>
      </c>
      <c r="U136" s="3">
        <f t="shared" si="118"/>
        <v>15542142.209623598</v>
      </c>
      <c r="V136" s="3">
        <f t="shared" si="118"/>
        <v>28665165.075691</v>
      </c>
      <c r="W136" s="3">
        <f t="shared" si="118"/>
        <v>24234935.341765963</v>
      </c>
      <c r="X136" s="3">
        <f t="shared" si="118"/>
        <v>38111057.714402273</v>
      </c>
      <c r="Y136" s="3">
        <f t="shared" si="118"/>
        <v>16761206.581606684</v>
      </c>
      <c r="Z136" s="3">
        <f t="shared" si="118"/>
        <v>6077007.3717970224</v>
      </c>
      <c r="AA136" s="3">
        <f t="shared" si="118"/>
        <v>40228708.608609796</v>
      </c>
      <c r="AB136" s="3">
        <f t="shared" si="118"/>
        <v>4418881.7548103258</v>
      </c>
      <c r="AC136" s="3">
        <f t="shared" si="118"/>
        <v>27650810.201970052</v>
      </c>
      <c r="AD136" s="3">
        <f t="shared" si="118"/>
        <v>7188630.3279508688</v>
      </c>
      <c r="AE136" s="3">
        <f t="shared" si="118"/>
        <v>23282282.414661177</v>
      </c>
      <c r="AF136" s="3">
        <f t="shared" si="118"/>
        <v>10383243.375171145</v>
      </c>
      <c r="AG136" s="3">
        <f t="shared" si="118"/>
        <v>21779193.285195604</v>
      </c>
      <c r="AH136" s="3">
        <f t="shared" si="118"/>
        <v>39689907.804964818</v>
      </c>
      <c r="AI136" s="3">
        <f t="shared" si="118"/>
        <v>14806963.765379112</v>
      </c>
      <c r="AJ136" s="3">
        <f t="shared" si="118"/>
        <v>13079182.710624268</v>
      </c>
      <c r="AK136" s="3">
        <f t="shared" si="118"/>
        <v>17016244.324254096</v>
      </c>
      <c r="AL136" s="3">
        <f t="shared" si="118"/>
        <v>13529048.619860509</v>
      </c>
      <c r="AM136" s="3">
        <f t="shared" si="118"/>
        <v>23216533.187788326</v>
      </c>
      <c r="AN136" s="3">
        <f t="shared" si="118"/>
        <v>3762165.107221331</v>
      </c>
      <c r="AO136" s="3">
        <f t="shared" si="118"/>
        <v>24656824.871703759</v>
      </c>
      <c r="AP136" s="3">
        <f t="shared" si="118"/>
        <v>13852689.652352465</v>
      </c>
      <c r="AQ136" s="3">
        <f t="shared" si="118"/>
        <v>17168647.640014872</v>
      </c>
      <c r="AR136" s="3">
        <f t="shared" si="118"/>
        <v>9899165.0215796586</v>
      </c>
      <c r="AS136" s="3">
        <f t="shared" si="118"/>
        <v>7162485.3644358702</v>
      </c>
      <c r="AT136" s="3">
        <f t="shared" si="118"/>
        <v>6526110.3920020629</v>
      </c>
      <c r="AU136" s="3">
        <f t="shared" si="118"/>
        <v>9599030.7447787374</v>
      </c>
      <c r="AV136" s="3">
        <f t="shared" si="118"/>
        <v>8144858.943166282</v>
      </c>
      <c r="AW136" s="3">
        <f t="shared" si="118"/>
        <v>13609519.443923099</v>
      </c>
      <c r="AX136" s="3">
        <f t="shared" si="118"/>
        <v>19895241.441754587</v>
      </c>
      <c r="AY136" s="3">
        <f t="shared" si="118"/>
        <v>19465848.025492936</v>
      </c>
      <c r="AZ136" s="3">
        <f t="shared" si="118"/>
        <v>14328727.985937232</v>
      </c>
      <c r="BA136" s="3">
        <f t="shared" si="118"/>
        <v>156201270.63778704</v>
      </c>
      <c r="BB136" s="3">
        <f t="shared" si="118"/>
        <v>32373126.334641833</v>
      </c>
      <c r="BC136" s="3">
        <f t="shared" si="118"/>
        <v>8784182.2533151768</v>
      </c>
      <c r="BD136" s="3">
        <f t="shared" si="118"/>
        <v>8977812.2252831869</v>
      </c>
      <c r="BE136" s="3">
        <f t="shared" si="118"/>
        <v>13031973.986255186</v>
      </c>
      <c r="BF136" s="3">
        <f t="shared" si="118"/>
        <v>21970393.895050615</v>
      </c>
      <c r="BG136" s="3">
        <f t="shared" si="118"/>
        <v>5062313.2379060835</v>
      </c>
      <c r="BH136" s="3">
        <f t="shared" ref="BH136" si="119">SUM(BH129:BH135)</f>
        <v>14415014.643287569</v>
      </c>
      <c r="BI136" s="3">
        <f t="shared" si="118"/>
        <v>13765203.054677024</v>
      </c>
      <c r="BJ136" s="3">
        <f t="shared" si="118"/>
        <v>4133843.4980026963</v>
      </c>
      <c r="BK136" s="3">
        <f t="shared" si="118"/>
        <v>6281029.1346390797</v>
      </c>
      <c r="BL136" s="3">
        <f t="shared" si="118"/>
        <v>27468854.73163091</v>
      </c>
      <c r="BM136" s="3">
        <f t="shared" si="118"/>
        <v>12299686.333198028</v>
      </c>
      <c r="BN136" s="3">
        <f t="shared" ref="BN136:BZ136" si="120">SUM(BN129:BN135)</f>
        <v>19526123.38278795</v>
      </c>
      <c r="BO136" s="3">
        <f t="shared" si="120"/>
        <v>37830157.081114955</v>
      </c>
      <c r="BP136" s="3">
        <f t="shared" si="120"/>
        <v>26821508.353343703</v>
      </c>
      <c r="BQ136" s="3">
        <f t="shared" si="120"/>
        <v>10464740.04240074</v>
      </c>
      <c r="BR136" s="3">
        <f t="shared" si="120"/>
        <v>88294973.076491728</v>
      </c>
      <c r="BS136" s="3">
        <f t="shared" si="120"/>
        <v>21542044.273957323</v>
      </c>
      <c r="BT136" s="3">
        <f t="shared" si="120"/>
        <v>14303465.132094495</v>
      </c>
      <c r="BU136" s="3">
        <f t="shared" si="120"/>
        <v>4285334.2815387174</v>
      </c>
      <c r="BV136" s="3">
        <f t="shared" si="120"/>
        <v>9152682.5515171997</v>
      </c>
      <c r="BW136" s="3">
        <f t="shared" si="120"/>
        <v>60728468.781554416</v>
      </c>
      <c r="BX136" s="3">
        <f t="shared" si="120"/>
        <v>6888152.6117793135</v>
      </c>
      <c r="BY136" s="3">
        <f t="shared" si="120"/>
        <v>10234288.662776075</v>
      </c>
      <c r="BZ136" s="3">
        <f t="shared" si="120"/>
        <v>32969727.110284079</v>
      </c>
    </row>
    <row r="137" spans="1:80" x14ac:dyDescent="0.2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</row>
    <row r="138" spans="1:80" x14ac:dyDescent="0.2">
      <c r="B138" t="s">
        <v>80</v>
      </c>
      <c r="C138" s="35">
        <f>SUM(D138:BZ138)</f>
        <v>519245</v>
      </c>
      <c r="D138" s="36">
        <v>76328</v>
      </c>
      <c r="E138" s="36">
        <v>9847</v>
      </c>
      <c r="F138" s="36">
        <v>1376</v>
      </c>
      <c r="G138" s="36">
        <v>1242</v>
      </c>
      <c r="H138" s="36">
        <v>3638</v>
      </c>
      <c r="I138" s="36">
        <v>9521</v>
      </c>
      <c r="J138" s="36">
        <v>3559</v>
      </c>
      <c r="K138" s="36">
        <v>905</v>
      </c>
      <c r="L138" s="36">
        <v>1585</v>
      </c>
      <c r="M138" s="36">
        <v>1032</v>
      </c>
      <c r="N138" s="36">
        <v>2341</v>
      </c>
      <c r="O138" s="36">
        <v>7592</v>
      </c>
      <c r="P138" s="36">
        <v>9545</v>
      </c>
      <c r="Q138" s="36">
        <v>6769</v>
      </c>
      <c r="R138" s="36">
        <v>3461</v>
      </c>
      <c r="S138" s="36">
        <v>6087</v>
      </c>
      <c r="T138" s="36">
        <v>8044</v>
      </c>
      <c r="U138" s="36">
        <v>3971</v>
      </c>
      <c r="V138" s="36">
        <v>4995</v>
      </c>
      <c r="W138" s="36">
        <v>6731</v>
      </c>
      <c r="X138" s="36">
        <v>10095</v>
      </c>
      <c r="Y138" s="36">
        <v>4822</v>
      </c>
      <c r="Z138" s="36">
        <v>2106</v>
      </c>
      <c r="AA138" s="36">
        <v>12046</v>
      </c>
      <c r="AB138" s="36">
        <v>1537</v>
      </c>
      <c r="AC138" s="36">
        <v>9057</v>
      </c>
      <c r="AD138" s="36">
        <v>2447</v>
      </c>
      <c r="AE138" s="36">
        <v>5925</v>
      </c>
      <c r="AF138" s="36">
        <v>3612</v>
      </c>
      <c r="AG138" s="36">
        <v>7238</v>
      </c>
      <c r="AH138" s="36">
        <v>13286</v>
      </c>
      <c r="AI138" s="36">
        <v>5210</v>
      </c>
      <c r="AJ138" s="36">
        <v>5297</v>
      </c>
      <c r="AK138" s="36">
        <v>6224</v>
      </c>
      <c r="AL138" s="36">
        <v>4954</v>
      </c>
      <c r="AM138" s="36">
        <v>6538</v>
      </c>
      <c r="AN138" s="36">
        <v>1544</v>
      </c>
      <c r="AO138" s="36">
        <v>8991</v>
      </c>
      <c r="AP138" s="36">
        <v>5074</v>
      </c>
      <c r="AQ138" s="36">
        <v>5801</v>
      </c>
      <c r="AR138" s="36">
        <v>3000</v>
      </c>
      <c r="AS138" s="36">
        <v>1865</v>
      </c>
      <c r="AT138" s="36">
        <v>1802</v>
      </c>
      <c r="AU138" s="36">
        <v>3951</v>
      </c>
      <c r="AV138" s="36">
        <v>3025</v>
      </c>
      <c r="AW138" s="36">
        <v>5029</v>
      </c>
      <c r="AX138" s="36">
        <v>5443</v>
      </c>
      <c r="AY138" s="36">
        <v>6564</v>
      </c>
      <c r="AZ138" s="36">
        <v>4043</v>
      </c>
      <c r="BA138" s="36">
        <v>27828</v>
      </c>
      <c r="BB138" s="36">
        <v>9836</v>
      </c>
      <c r="BC138" s="36">
        <v>2607</v>
      </c>
      <c r="BD138" s="36">
        <v>3656</v>
      </c>
      <c r="BE138" s="36">
        <v>5051</v>
      </c>
      <c r="BF138" s="36">
        <v>8877</v>
      </c>
      <c r="BG138" s="36">
        <v>1960</v>
      </c>
      <c r="BH138" s="36">
        <v>6257</v>
      </c>
      <c r="BI138" s="36">
        <v>5080</v>
      </c>
      <c r="BJ138" s="36">
        <v>1613</v>
      </c>
      <c r="BK138" s="36">
        <v>2896</v>
      </c>
      <c r="BL138" s="36">
        <v>9414</v>
      </c>
      <c r="BM138" s="36">
        <v>3920</v>
      </c>
      <c r="BN138" s="36">
        <v>6574</v>
      </c>
      <c r="BO138" s="36">
        <v>13493</v>
      </c>
      <c r="BP138" s="36">
        <v>10444</v>
      </c>
      <c r="BQ138" s="36">
        <v>4113</v>
      </c>
      <c r="BR138" s="36">
        <v>24306</v>
      </c>
      <c r="BS138" s="36">
        <v>4848</v>
      </c>
      <c r="BT138" s="36">
        <v>4538</v>
      </c>
      <c r="BU138" s="36">
        <v>1517</v>
      </c>
      <c r="BV138" s="36">
        <v>3182</v>
      </c>
      <c r="BW138" s="36">
        <v>18017</v>
      </c>
      <c r="BX138" s="36">
        <v>2087</v>
      </c>
      <c r="BY138" s="36">
        <v>3569</v>
      </c>
      <c r="BZ138" s="36">
        <v>8467</v>
      </c>
      <c r="CB138" t="s">
        <v>110</v>
      </c>
    </row>
    <row r="139" spans="1:80" x14ac:dyDescent="0.2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</row>
    <row r="140" spans="1:80" s="19" customFormat="1" x14ac:dyDescent="0.2">
      <c r="B140" s="19" t="s">
        <v>104</v>
      </c>
      <c r="C140" s="92">
        <f>C136/C138</f>
        <v>3412.7307906008091</v>
      </c>
      <c r="D140" s="37">
        <f t="shared" ref="D140:BM140" si="121">D136/D138</f>
        <v>3686.3321747257596</v>
      </c>
      <c r="E140" s="37">
        <f t="shared" si="121"/>
        <v>2775.1696828979052</v>
      </c>
      <c r="F140" s="37">
        <f t="shared" si="121"/>
        <v>2806.8884470510825</v>
      </c>
      <c r="G140" s="37">
        <f t="shared" si="121"/>
        <v>2469.9740904336854</v>
      </c>
      <c r="H140" s="37">
        <f t="shared" si="121"/>
        <v>6259.8486336150017</v>
      </c>
      <c r="I140" s="37">
        <f t="shared" si="121"/>
        <v>3799.7865779939561</v>
      </c>
      <c r="J140" s="37">
        <f t="shared" si="121"/>
        <v>3619.2326459905903</v>
      </c>
      <c r="K140" s="37">
        <f t="shared" si="121"/>
        <v>3667.9775730150418</v>
      </c>
      <c r="L140" s="37">
        <f t="shared" si="121"/>
        <v>4227.3723759684353</v>
      </c>
      <c r="M140" s="37">
        <f t="shared" si="121"/>
        <v>3111.792388505025</v>
      </c>
      <c r="N140" s="37">
        <f t="shared" si="121"/>
        <v>2937.9830345853188</v>
      </c>
      <c r="O140" s="37">
        <f t="shared" si="121"/>
        <v>3561.6909089389624</v>
      </c>
      <c r="P140" s="37">
        <f t="shared" si="121"/>
        <v>2900.559006844373</v>
      </c>
      <c r="Q140" s="37">
        <f t="shared" si="121"/>
        <v>4139.1607366988446</v>
      </c>
      <c r="R140" s="37">
        <f t="shared" si="121"/>
        <v>2726.2809840027262</v>
      </c>
      <c r="S140" s="37">
        <f t="shared" si="121"/>
        <v>3310.9490602423207</v>
      </c>
      <c r="T140" s="37">
        <f t="shared" si="121"/>
        <v>3804.3895459484465</v>
      </c>
      <c r="U140" s="37">
        <f t="shared" si="121"/>
        <v>3913.9114101293371</v>
      </c>
      <c r="V140" s="37">
        <f t="shared" si="121"/>
        <v>5738.7717869251246</v>
      </c>
      <c r="W140" s="37">
        <f t="shared" si="121"/>
        <v>3600.4955195017028</v>
      </c>
      <c r="X140" s="37">
        <f t="shared" si="121"/>
        <v>3775.2409821101805</v>
      </c>
      <c r="Y140" s="37">
        <f t="shared" si="121"/>
        <v>3475.9864333485452</v>
      </c>
      <c r="Z140" s="37">
        <f t="shared" si="121"/>
        <v>2885.568552610172</v>
      </c>
      <c r="AA140" s="37">
        <f t="shared" si="121"/>
        <v>3339.5906200074542</v>
      </c>
      <c r="AB140" s="37">
        <f t="shared" si="121"/>
        <v>2875.0043948017733</v>
      </c>
      <c r="AC140" s="37">
        <f t="shared" si="121"/>
        <v>3052.9767254024569</v>
      </c>
      <c r="AD140" s="37">
        <f t="shared" si="121"/>
        <v>2937.7320506542169</v>
      </c>
      <c r="AE140" s="37">
        <f t="shared" si="121"/>
        <v>3929.4991417149663</v>
      </c>
      <c r="AF140" s="37">
        <f t="shared" si="121"/>
        <v>2874.6520972234621</v>
      </c>
      <c r="AG140" s="37">
        <f t="shared" si="121"/>
        <v>3009.0070855478866</v>
      </c>
      <c r="AH140" s="37">
        <f t="shared" si="121"/>
        <v>2987.3481713807632</v>
      </c>
      <c r="AI140" s="37">
        <f t="shared" si="121"/>
        <v>2842.0275941226705</v>
      </c>
      <c r="AJ140" s="37">
        <f t="shared" si="121"/>
        <v>2469.1679650036376</v>
      </c>
      <c r="AK140" s="37">
        <f t="shared" si="121"/>
        <v>2733.9724171359408</v>
      </c>
      <c r="AL140" s="37">
        <f t="shared" si="121"/>
        <v>2730.9343197134658</v>
      </c>
      <c r="AM140" s="37">
        <f t="shared" si="121"/>
        <v>3551.0145591600376</v>
      </c>
      <c r="AN140" s="37">
        <f t="shared" si="121"/>
        <v>2436.6354321381677</v>
      </c>
      <c r="AO140" s="37">
        <f t="shared" si="121"/>
        <v>2742.3895975646487</v>
      </c>
      <c r="AP140" s="37">
        <f t="shared" si="121"/>
        <v>2730.1319772078173</v>
      </c>
      <c r="AQ140" s="37">
        <f t="shared" si="121"/>
        <v>2959.6013859705004</v>
      </c>
      <c r="AR140" s="37">
        <f t="shared" si="121"/>
        <v>3299.7216738598863</v>
      </c>
      <c r="AS140" s="37">
        <f t="shared" si="121"/>
        <v>3840.4747262390724</v>
      </c>
      <c r="AT140" s="37">
        <f t="shared" si="121"/>
        <v>3621.5928923429869</v>
      </c>
      <c r="AU140" s="37">
        <f t="shared" si="121"/>
        <v>2429.5192975901637</v>
      </c>
      <c r="AV140" s="37">
        <f t="shared" si="121"/>
        <v>2692.5153531128203</v>
      </c>
      <c r="AW140" s="37">
        <f t="shared" si="121"/>
        <v>2706.2078830628552</v>
      </c>
      <c r="AX140" s="37">
        <f t="shared" si="121"/>
        <v>3655.1977662602585</v>
      </c>
      <c r="AY140" s="37">
        <f t="shared" si="121"/>
        <v>2965.546621799655</v>
      </c>
      <c r="AZ140" s="37">
        <f t="shared" si="121"/>
        <v>3544.0831031257067</v>
      </c>
      <c r="BA140" s="37">
        <f t="shared" si="121"/>
        <v>5613.0972631086333</v>
      </c>
      <c r="BB140" s="37">
        <f t="shared" si="121"/>
        <v>3291.2897859538261</v>
      </c>
      <c r="BC140" s="37">
        <f t="shared" si="121"/>
        <v>3369.4600127791241</v>
      </c>
      <c r="BD140" s="37">
        <f t="shared" si="121"/>
        <v>2455.6379171999965</v>
      </c>
      <c r="BE140" s="37">
        <f t="shared" si="121"/>
        <v>2580.0780016343665</v>
      </c>
      <c r="BF140" s="37">
        <f t="shared" si="121"/>
        <v>2474.9795984060625</v>
      </c>
      <c r="BG140" s="37">
        <f t="shared" si="121"/>
        <v>2582.8128764826956</v>
      </c>
      <c r="BH140" s="37">
        <f t="shared" ref="BH140" si="122">BH136/BH138</f>
        <v>2303.822062216329</v>
      </c>
      <c r="BI140" s="37">
        <f t="shared" si="121"/>
        <v>2709.6856406844536</v>
      </c>
      <c r="BJ140" s="37">
        <f t="shared" si="121"/>
        <v>2562.8291990097309</v>
      </c>
      <c r="BK140" s="37">
        <f t="shared" si="121"/>
        <v>2168.8636514637706</v>
      </c>
      <c r="BL140" s="37">
        <f t="shared" si="121"/>
        <v>2917.8728204409294</v>
      </c>
      <c r="BM140" s="37">
        <f t="shared" si="121"/>
        <v>3137.6750849994969</v>
      </c>
      <c r="BN140" s="37">
        <f t="shared" ref="BN140:BZ140" si="123">BN136/BN138</f>
        <v>2970.2043478533542</v>
      </c>
      <c r="BO140" s="37">
        <f t="shared" si="123"/>
        <v>2803.687621812418</v>
      </c>
      <c r="BP140" s="37">
        <f t="shared" si="123"/>
        <v>2568.1260391941501</v>
      </c>
      <c r="BQ140" s="37">
        <f t="shared" si="123"/>
        <v>2544.3083010942719</v>
      </c>
      <c r="BR140" s="37">
        <f t="shared" si="123"/>
        <v>3632.6410382823883</v>
      </c>
      <c r="BS140" s="37">
        <f t="shared" si="123"/>
        <v>4443.4909806017577</v>
      </c>
      <c r="BT140" s="37">
        <f t="shared" si="123"/>
        <v>3151.9314967154023</v>
      </c>
      <c r="BU140" s="37">
        <f t="shared" si="123"/>
        <v>2824.8742791949358</v>
      </c>
      <c r="BV140" s="37">
        <f t="shared" si="123"/>
        <v>2876.3930080192331</v>
      </c>
      <c r="BW140" s="37">
        <f t="shared" si="123"/>
        <v>3370.620457432115</v>
      </c>
      <c r="BX140" s="37">
        <f t="shared" si="123"/>
        <v>3300.5043659699631</v>
      </c>
      <c r="BY140" s="37">
        <f t="shared" si="123"/>
        <v>2867.5507600941651</v>
      </c>
      <c r="BZ140" s="37">
        <f t="shared" si="123"/>
        <v>3893.9089536180559</v>
      </c>
    </row>
    <row r="141" spans="1:80" x14ac:dyDescent="0.2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</row>
    <row r="142" spans="1:80" x14ac:dyDescent="0.2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</row>
    <row r="143" spans="1:80" s="19" customFormat="1" x14ac:dyDescent="0.2">
      <c r="A143" s="23" t="s">
        <v>159</v>
      </c>
      <c r="B143" s="25" t="s">
        <v>231</v>
      </c>
      <c r="C143" s="14">
        <f t="shared" ref="C143:AH143" si="124">AVERAGE(C126,C140)</f>
        <v>3485.6540623381225</v>
      </c>
      <c r="D143" s="14">
        <f t="shared" si="124"/>
        <v>3851.9460857683052</v>
      </c>
      <c r="E143" s="14">
        <f t="shared" si="124"/>
        <v>2832.3157215129427</v>
      </c>
      <c r="F143" s="14">
        <f t="shared" si="124"/>
        <v>2900.5564787439944</v>
      </c>
      <c r="G143" s="14">
        <f t="shared" si="124"/>
        <v>2562.743242701998</v>
      </c>
      <c r="H143" s="14">
        <f t="shared" si="124"/>
        <v>6564.3197117003938</v>
      </c>
      <c r="I143" s="14">
        <f t="shared" si="124"/>
        <v>3765.4875322525941</v>
      </c>
      <c r="J143" s="14">
        <f t="shared" si="124"/>
        <v>3485.0916128085992</v>
      </c>
      <c r="K143" s="14">
        <f t="shared" si="124"/>
        <v>3772.3930867373656</v>
      </c>
      <c r="L143" s="14">
        <f t="shared" si="124"/>
        <v>4298.8949243162497</v>
      </c>
      <c r="M143" s="14">
        <f t="shared" si="124"/>
        <v>3102.3616549229728</v>
      </c>
      <c r="N143" s="14">
        <f t="shared" si="124"/>
        <v>3010.4772771071921</v>
      </c>
      <c r="O143" s="14">
        <f t="shared" si="124"/>
        <v>3609.4264019530574</v>
      </c>
      <c r="P143" s="14">
        <f t="shared" si="124"/>
        <v>2885.3903287564417</v>
      </c>
      <c r="Q143" s="14">
        <f t="shared" si="124"/>
        <v>4047.5353378935579</v>
      </c>
      <c r="R143" s="14">
        <f t="shared" si="124"/>
        <v>2792.0367118577387</v>
      </c>
      <c r="S143" s="14">
        <f t="shared" si="124"/>
        <v>3240.9157563363742</v>
      </c>
      <c r="T143" s="14">
        <f t="shared" si="124"/>
        <v>3794.8457426723326</v>
      </c>
      <c r="U143" s="14">
        <f t="shared" si="124"/>
        <v>4058.3766308344093</v>
      </c>
      <c r="V143" s="14">
        <f t="shared" si="124"/>
        <v>5603.3505646917929</v>
      </c>
      <c r="W143" s="14">
        <f t="shared" si="124"/>
        <v>3673.159967406652</v>
      </c>
      <c r="X143" s="14">
        <f t="shared" si="124"/>
        <v>3900.6697675679598</v>
      </c>
      <c r="Y143" s="14">
        <f t="shared" si="124"/>
        <v>3503.4393791477769</v>
      </c>
      <c r="Z143" s="14">
        <f t="shared" si="124"/>
        <v>3004.4630475615331</v>
      </c>
      <c r="AA143" s="14">
        <f t="shared" si="124"/>
        <v>3328.4907914813048</v>
      </c>
      <c r="AB143" s="14">
        <f t="shared" si="124"/>
        <v>2832.1922740206401</v>
      </c>
      <c r="AC143" s="14">
        <f t="shared" si="124"/>
        <v>3161.9913543844796</v>
      </c>
      <c r="AD143" s="14">
        <f t="shared" si="124"/>
        <v>2982.8659149822433</v>
      </c>
      <c r="AE143" s="14">
        <f t="shared" si="124"/>
        <v>4218.1336628135423</v>
      </c>
      <c r="AF143" s="14">
        <f t="shared" si="124"/>
        <v>2941.9470211830112</v>
      </c>
      <c r="AG143" s="14">
        <f t="shared" si="124"/>
        <v>3058.5518884402481</v>
      </c>
      <c r="AH143" s="14">
        <f t="shared" si="124"/>
        <v>3240.454454029305</v>
      </c>
      <c r="AI143" s="14">
        <f t="shared" ref="AI143:BL143" si="125">AVERAGE(AI126,AI140)</f>
        <v>2903.6417334790112</v>
      </c>
      <c r="AJ143" s="14">
        <f t="shared" si="125"/>
        <v>2547.2444334137272</v>
      </c>
      <c r="AK143" s="14">
        <f t="shared" si="125"/>
        <v>2914.2591304584166</v>
      </c>
      <c r="AL143" s="14">
        <f t="shared" si="125"/>
        <v>2834.4134353148129</v>
      </c>
      <c r="AM143" s="14">
        <f t="shared" si="125"/>
        <v>3605.0712928038756</v>
      </c>
      <c r="AN143" s="14">
        <f t="shared" si="125"/>
        <v>2553.5003556563042</v>
      </c>
      <c r="AO143" s="14">
        <f t="shared" si="125"/>
        <v>2761.1285824324332</v>
      </c>
      <c r="AP143" s="14">
        <f t="shared" si="125"/>
        <v>2815.3900812838301</v>
      </c>
      <c r="AQ143" s="14">
        <f t="shared" si="125"/>
        <v>3021.2984992390047</v>
      </c>
      <c r="AR143" s="14">
        <f t="shared" si="125"/>
        <v>3326.7159352261428</v>
      </c>
      <c r="AS143" s="14">
        <f t="shared" si="125"/>
        <v>4079.8546250301661</v>
      </c>
      <c r="AT143" s="14">
        <f t="shared" si="125"/>
        <v>3622.1600089462377</v>
      </c>
      <c r="AU143" s="14">
        <f t="shared" si="125"/>
        <v>2454.8266061263048</v>
      </c>
      <c r="AV143" s="14">
        <f t="shared" si="125"/>
        <v>2788.4109369206426</v>
      </c>
      <c r="AW143" s="14">
        <f t="shared" si="125"/>
        <v>2745.2939364224248</v>
      </c>
      <c r="AX143" s="14">
        <f t="shared" si="125"/>
        <v>3729.6849232594514</v>
      </c>
      <c r="AY143" s="14">
        <f t="shared" si="125"/>
        <v>3114.5465410659285</v>
      </c>
      <c r="AZ143" s="14">
        <f t="shared" si="125"/>
        <v>3554.4462335556159</v>
      </c>
      <c r="BA143" s="14">
        <f t="shared" si="125"/>
        <v>5698.699137061114</v>
      </c>
      <c r="BB143" s="14">
        <f t="shared" si="125"/>
        <v>3221.9011643505796</v>
      </c>
      <c r="BC143" s="14">
        <f t="shared" si="125"/>
        <v>3336.9439752964636</v>
      </c>
      <c r="BD143" s="14">
        <f t="shared" si="125"/>
        <v>2507.0828262239411</v>
      </c>
      <c r="BE143" s="14">
        <f t="shared" si="125"/>
        <v>2626.2984396802685</v>
      </c>
      <c r="BF143" s="14">
        <f t="shared" si="125"/>
        <v>2607.2783500845007</v>
      </c>
      <c r="BG143" s="14">
        <f t="shared" si="125"/>
        <v>2784.9480830801754</v>
      </c>
      <c r="BH143" s="14">
        <f t="shared" ref="BH143" si="126">AVERAGE(BH126,BH140)</f>
        <v>2262.2445581909333</v>
      </c>
      <c r="BI143" s="14">
        <f t="shared" si="125"/>
        <v>2668.4134800690454</v>
      </c>
      <c r="BJ143" s="14">
        <f t="shared" si="125"/>
        <v>2557.1098525275993</v>
      </c>
      <c r="BK143" s="14">
        <f t="shared" si="125"/>
        <v>2202.1999672316633</v>
      </c>
      <c r="BL143" s="14">
        <f t="shared" si="125"/>
        <v>2949.4753446672307</v>
      </c>
      <c r="BM143" s="14">
        <f t="shared" ref="BM143:BZ143" si="127">AVERAGE(BM126,BM140)</f>
        <v>3140.7041633723702</v>
      </c>
      <c r="BN143" s="14">
        <f t="shared" si="127"/>
        <v>2918.221824831016</v>
      </c>
      <c r="BO143" s="14">
        <f t="shared" si="127"/>
        <v>2824.3025197429429</v>
      </c>
      <c r="BP143" s="14">
        <f t="shared" si="127"/>
        <v>2666.9700956513607</v>
      </c>
      <c r="BQ143" s="14">
        <f t="shared" si="127"/>
        <v>2669.5433326131511</v>
      </c>
      <c r="BR143" s="14">
        <f t="shared" si="127"/>
        <v>3706.2572477723952</v>
      </c>
      <c r="BS143" s="14">
        <f t="shared" si="127"/>
        <v>4412.4454836098894</v>
      </c>
      <c r="BT143" s="14">
        <f t="shared" si="127"/>
        <v>3391.8073082340452</v>
      </c>
      <c r="BU143" s="14">
        <f t="shared" si="127"/>
        <v>2886.6567988486204</v>
      </c>
      <c r="BV143" s="14">
        <f t="shared" si="127"/>
        <v>2931.5950371297922</v>
      </c>
      <c r="BW143" s="14">
        <f t="shared" si="127"/>
        <v>3423.1192857611113</v>
      </c>
      <c r="BX143" s="14">
        <f t="shared" si="127"/>
        <v>3351.0012822717572</v>
      </c>
      <c r="BY143" s="14">
        <f t="shared" si="127"/>
        <v>3004.7994766876359</v>
      </c>
      <c r="BZ143" s="14">
        <f t="shared" si="127"/>
        <v>3882.8172424501349</v>
      </c>
      <c r="CA143" s="25"/>
      <c r="CB143" s="25"/>
    </row>
    <row r="144" spans="1:80" s="4" customFormat="1" x14ac:dyDescent="0.2">
      <c r="B144" s="4" t="s">
        <v>140</v>
      </c>
      <c r="C144" s="49">
        <v>1</v>
      </c>
      <c r="D144" s="49">
        <f>D143*$C144/$C143</f>
        <v>1.1050855927981791</v>
      </c>
      <c r="E144" s="49">
        <f t="shared" ref="E144:BN144" si="128">E143*$C144/$C143</f>
        <v>0.81256363106012575</v>
      </c>
      <c r="F144" s="49">
        <f t="shared" si="128"/>
        <v>0.83214123572502385</v>
      </c>
      <c r="G144" s="49">
        <f t="shared" si="128"/>
        <v>0.73522592800931885</v>
      </c>
      <c r="H144" s="49">
        <f t="shared" si="128"/>
        <v>1.8832390117615831</v>
      </c>
      <c r="I144" s="49">
        <f t="shared" si="128"/>
        <v>1.0802814808669692</v>
      </c>
      <c r="J144" s="49">
        <f t="shared" si="128"/>
        <v>0.99983863874054502</v>
      </c>
      <c r="K144" s="49">
        <f t="shared" si="128"/>
        <v>1.0822626167918978</v>
      </c>
      <c r="L144" s="49">
        <f t="shared" si="128"/>
        <v>1.2333108356233773</v>
      </c>
      <c r="M144" s="49">
        <f t="shared" si="128"/>
        <v>0.89003716359676754</v>
      </c>
      <c r="N144" s="49">
        <f t="shared" si="128"/>
        <v>0.86367643583305309</v>
      </c>
      <c r="O144" s="49">
        <f t="shared" si="128"/>
        <v>1.0355090715835151</v>
      </c>
      <c r="P144" s="49">
        <f t="shared" si="128"/>
        <v>0.82779021588303192</v>
      </c>
      <c r="Q144" s="49">
        <f t="shared" si="128"/>
        <v>1.1611982329590489</v>
      </c>
      <c r="R144" s="49">
        <f t="shared" si="128"/>
        <v>0.80100797782120814</v>
      </c>
      <c r="S144" s="49">
        <f t="shared" si="128"/>
        <v>0.92978697781684572</v>
      </c>
      <c r="T144" s="49">
        <f t="shared" si="128"/>
        <v>1.0887040638011016</v>
      </c>
      <c r="U144" s="49">
        <f t="shared" si="128"/>
        <v>1.1643084936868673</v>
      </c>
      <c r="V144" s="49">
        <f t="shared" si="128"/>
        <v>1.6075463785218986</v>
      </c>
      <c r="W144" s="49">
        <f t="shared" si="128"/>
        <v>1.0537936070863996</v>
      </c>
      <c r="X144" s="49">
        <f t="shared" si="128"/>
        <v>1.1190639397391751</v>
      </c>
      <c r="Y144" s="49">
        <f t="shared" si="128"/>
        <v>1.0051024331421243</v>
      </c>
      <c r="Z144" s="49">
        <f t="shared" si="128"/>
        <v>0.86195101230045368</v>
      </c>
      <c r="AA144" s="49">
        <f t="shared" si="128"/>
        <v>0.95491139738881747</v>
      </c>
      <c r="AB144" s="49">
        <f t="shared" si="128"/>
        <v>0.81252821518405349</v>
      </c>
      <c r="AC144" s="49">
        <f t="shared" si="128"/>
        <v>0.90714434015390066</v>
      </c>
      <c r="AD144" s="49">
        <f t="shared" si="128"/>
        <v>0.85575500656005532</v>
      </c>
      <c r="AE144" s="49">
        <f t="shared" si="128"/>
        <v>1.2101412209518245</v>
      </c>
      <c r="AF144" s="49">
        <f t="shared" si="128"/>
        <v>0.84401577682944218</v>
      </c>
      <c r="AG144" s="49">
        <f t="shared" si="128"/>
        <v>0.87746857081641061</v>
      </c>
      <c r="AH144" s="49">
        <f t="shared" si="128"/>
        <v>0.92965463470452903</v>
      </c>
      <c r="AI144" s="49">
        <f t="shared" si="128"/>
        <v>0.83302636508090355</v>
      </c>
      <c r="AJ144" s="49">
        <f t="shared" si="128"/>
        <v>0.73077947147316025</v>
      </c>
      <c r="AK144" s="49">
        <f t="shared" si="128"/>
        <v>0.83607239225099028</v>
      </c>
      <c r="AL144" s="49">
        <f t="shared" si="128"/>
        <v>0.81316544459765827</v>
      </c>
      <c r="AM144" s="49">
        <f t="shared" si="128"/>
        <v>1.0342596334375334</v>
      </c>
      <c r="AN144" s="49">
        <f t="shared" si="128"/>
        <v>0.73257423427253587</v>
      </c>
      <c r="AO144" s="49">
        <f t="shared" si="128"/>
        <v>0.79214073830961618</v>
      </c>
      <c r="AP144" s="49">
        <f t="shared" si="128"/>
        <v>0.80770783070632957</v>
      </c>
      <c r="AQ144" s="49">
        <f t="shared" si="128"/>
        <v>0.86678093844240089</v>
      </c>
      <c r="AR144" s="49">
        <f t="shared" si="128"/>
        <v>0.9544022085182583</v>
      </c>
      <c r="AS144" s="49">
        <f t="shared" si="128"/>
        <v>1.1704703197922812</v>
      </c>
      <c r="AT144" s="49">
        <f t="shared" si="128"/>
        <v>1.0391622186731144</v>
      </c>
      <c r="AU144" s="49">
        <f t="shared" si="128"/>
        <v>0.70426570228247076</v>
      </c>
      <c r="AV144" s="49">
        <f t="shared" si="128"/>
        <v>0.79996777851506584</v>
      </c>
      <c r="AW144" s="49">
        <f t="shared" si="128"/>
        <v>0.78759793350833107</v>
      </c>
      <c r="AX144" s="49">
        <f t="shared" si="128"/>
        <v>1.0700100631207323</v>
      </c>
      <c r="AY144" s="49">
        <f t="shared" si="128"/>
        <v>0.89353288805049669</v>
      </c>
      <c r="AZ144" s="49">
        <f t="shared" si="128"/>
        <v>1.0197357999351631</v>
      </c>
      <c r="BA144" s="49">
        <f t="shared" si="128"/>
        <v>1.6349009497627873</v>
      </c>
      <c r="BB144" s="49">
        <f t="shared" si="128"/>
        <v>0.92433187767043601</v>
      </c>
      <c r="BC144" s="49">
        <f t="shared" si="128"/>
        <v>0.95733653300582944</v>
      </c>
      <c r="BD144" s="49">
        <f t="shared" si="128"/>
        <v>0.71925749985132748</v>
      </c>
      <c r="BE144" s="49">
        <f t="shared" si="128"/>
        <v>0.7534592913441871</v>
      </c>
      <c r="BF144" s="49">
        <f t="shared" si="128"/>
        <v>0.74800261398733847</v>
      </c>
      <c r="BG144" s="49">
        <f t="shared" si="128"/>
        <v>0.79897431967533683</v>
      </c>
      <c r="BH144" s="49">
        <f t="shared" ref="BH144" si="129">BH143*$C144/$C143</f>
        <v>0.64901579954077682</v>
      </c>
      <c r="BI144" s="49">
        <f t="shared" si="128"/>
        <v>0.7655416838121667</v>
      </c>
      <c r="BJ144" s="49">
        <f t="shared" si="128"/>
        <v>0.73360976356108321</v>
      </c>
      <c r="BK144" s="49">
        <f t="shared" si="128"/>
        <v>0.63178959467780971</v>
      </c>
      <c r="BL144" s="49">
        <f t="shared" si="128"/>
        <v>0.84617557907877083</v>
      </c>
      <c r="BM144" s="49">
        <f t="shared" si="128"/>
        <v>0.90103725361249265</v>
      </c>
      <c r="BN144" s="49">
        <f t="shared" si="128"/>
        <v>0.83720925044223071</v>
      </c>
      <c r="BO144" s="49">
        <f t="shared" ref="BO144:BZ144" si="130">BO143*$C144/$C143</f>
        <v>0.81026472198117239</v>
      </c>
      <c r="BP144" s="49">
        <f t="shared" si="130"/>
        <v>0.76512759096420446</v>
      </c>
      <c r="BQ144" s="49">
        <f t="shared" si="130"/>
        <v>0.76586582743740872</v>
      </c>
      <c r="BR144" s="49">
        <f t="shared" si="130"/>
        <v>1.0632888925547292</v>
      </c>
      <c r="BS144" s="49">
        <f t="shared" si="130"/>
        <v>1.2658873785799873</v>
      </c>
      <c r="BT144" s="49">
        <f t="shared" si="130"/>
        <v>0.97307628570543625</v>
      </c>
      <c r="BU144" s="49">
        <f t="shared" si="130"/>
        <v>0.82815355374431388</v>
      </c>
      <c r="BV144" s="49">
        <f t="shared" si="130"/>
        <v>0.84104589402751118</v>
      </c>
      <c r="BW144" s="49">
        <f t="shared" si="130"/>
        <v>0.98205938528074588</v>
      </c>
      <c r="BX144" s="49">
        <f t="shared" si="130"/>
        <v>0.96136943665142649</v>
      </c>
      <c r="BY144" s="49">
        <f t="shared" si="130"/>
        <v>0.86204753052058847</v>
      </c>
      <c r="BZ144" s="49">
        <f t="shared" si="130"/>
        <v>1.113942225191906</v>
      </c>
    </row>
    <row r="145" spans="1:80" s="4" customFormat="1" x14ac:dyDescent="0.2"/>
    <row r="146" spans="1:80" x14ac:dyDescent="0.2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</row>
    <row r="147" spans="1:80" s="41" customFormat="1" ht="15.75" x14ac:dyDescent="0.25">
      <c r="A147" s="20" t="s">
        <v>101</v>
      </c>
      <c r="B147" s="20" t="s">
        <v>100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20"/>
      <c r="CB147" s="20"/>
    </row>
    <row r="148" spans="1:80" x14ac:dyDescent="0.2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</row>
    <row r="149" spans="1:80" x14ac:dyDescent="0.2">
      <c r="B149" t="s">
        <v>102</v>
      </c>
      <c r="C149" s="8">
        <v>0.96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B149" t="s">
        <v>111</v>
      </c>
    </row>
    <row r="150" spans="1:80" x14ac:dyDescent="0.2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</row>
    <row r="151" spans="1:80" s="19" customFormat="1" x14ac:dyDescent="0.2">
      <c r="B151" s="90" t="s">
        <v>103</v>
      </c>
      <c r="C151" s="91">
        <f>SUM(D151:BZ151)</f>
        <v>114439500</v>
      </c>
      <c r="D151" s="91">
        <f>ROUND(IF(D143&lt;$C143*$C149,($C143*$C149-D143)*D138,0),-2)</f>
        <v>0</v>
      </c>
      <c r="E151" s="91">
        <f>ROUND(IF(E143&lt;$C143*$C149,($C143*$C149-E143)*E138,0),-2)</f>
        <v>5060500</v>
      </c>
      <c r="F151" s="91">
        <f t="shared" ref="F151:BO151" si="131">ROUND(IF(F143&lt;$C143*$C149,($C143*$C149-F143)*F138,0),-2)</f>
        <v>613200</v>
      </c>
      <c r="G151" s="91">
        <f t="shared" si="131"/>
        <v>973100</v>
      </c>
      <c r="H151" s="91">
        <f t="shared" si="131"/>
        <v>0</v>
      </c>
      <c r="I151" s="91">
        <f t="shared" si="131"/>
        <v>0</v>
      </c>
      <c r="J151" s="91">
        <f t="shared" si="131"/>
        <v>0</v>
      </c>
      <c r="K151" s="91">
        <f t="shared" si="131"/>
        <v>0</v>
      </c>
      <c r="L151" s="91">
        <f t="shared" si="131"/>
        <v>0</v>
      </c>
      <c r="M151" s="91">
        <f t="shared" si="131"/>
        <v>251700</v>
      </c>
      <c r="N151" s="91">
        <f t="shared" si="131"/>
        <v>786000</v>
      </c>
      <c r="O151" s="91">
        <f t="shared" si="131"/>
        <v>0</v>
      </c>
      <c r="P151" s="91">
        <f t="shared" si="131"/>
        <v>4398700</v>
      </c>
      <c r="Q151" s="91">
        <f t="shared" si="131"/>
        <v>0</v>
      </c>
      <c r="R151" s="91">
        <f t="shared" si="131"/>
        <v>1918100</v>
      </c>
      <c r="S151" s="91">
        <f t="shared" si="131"/>
        <v>641000</v>
      </c>
      <c r="T151" s="91">
        <f t="shared" si="131"/>
        <v>0</v>
      </c>
      <c r="U151" s="91">
        <f t="shared" si="131"/>
        <v>0</v>
      </c>
      <c r="V151" s="91">
        <f t="shared" si="131"/>
        <v>0</v>
      </c>
      <c r="W151" s="91">
        <f t="shared" si="131"/>
        <v>0</v>
      </c>
      <c r="X151" s="91">
        <f t="shared" si="131"/>
        <v>0</v>
      </c>
      <c r="Y151" s="91">
        <f t="shared" si="131"/>
        <v>0</v>
      </c>
      <c r="Z151" s="91">
        <f t="shared" si="131"/>
        <v>719800</v>
      </c>
      <c r="AA151" s="91">
        <f t="shared" si="131"/>
        <v>213700</v>
      </c>
      <c r="AB151" s="91">
        <f t="shared" si="131"/>
        <v>790100</v>
      </c>
      <c r="AC151" s="91">
        <f t="shared" si="131"/>
        <v>1668600</v>
      </c>
      <c r="AD151" s="91">
        <f t="shared" si="131"/>
        <v>889100</v>
      </c>
      <c r="AE151" s="91">
        <f t="shared" si="131"/>
        <v>0</v>
      </c>
      <c r="AF151" s="91">
        <f t="shared" si="131"/>
        <v>1460300</v>
      </c>
      <c r="AG151" s="91">
        <f t="shared" si="131"/>
        <v>2082200</v>
      </c>
      <c r="AH151" s="91">
        <f t="shared" si="131"/>
        <v>1405300</v>
      </c>
      <c r="AI151" s="91">
        <f t="shared" si="131"/>
        <v>2305900</v>
      </c>
      <c r="AJ151" s="91">
        <f t="shared" si="131"/>
        <v>4232200</v>
      </c>
      <c r="AK151" s="91">
        <f t="shared" si="131"/>
        <v>2688600</v>
      </c>
      <c r="AL151" s="91">
        <f t="shared" si="131"/>
        <v>2535500</v>
      </c>
      <c r="AM151" s="91">
        <f t="shared" si="131"/>
        <v>0</v>
      </c>
      <c r="AN151" s="91">
        <f t="shared" si="131"/>
        <v>1224000</v>
      </c>
      <c r="AO151" s="91">
        <f t="shared" si="131"/>
        <v>5260600</v>
      </c>
      <c r="AP151" s="91">
        <f t="shared" si="131"/>
        <v>2693500</v>
      </c>
      <c r="AQ151" s="91">
        <f t="shared" si="131"/>
        <v>1884900</v>
      </c>
      <c r="AR151" s="91">
        <f t="shared" si="131"/>
        <v>58500</v>
      </c>
      <c r="AS151" s="91">
        <f t="shared" si="131"/>
        <v>0</v>
      </c>
      <c r="AT151" s="91">
        <f t="shared" si="131"/>
        <v>0</v>
      </c>
      <c r="AU151" s="91">
        <f t="shared" si="131"/>
        <v>3521900</v>
      </c>
      <c r="AV151" s="91">
        <f t="shared" si="131"/>
        <v>1687400</v>
      </c>
      <c r="AW151" s="91">
        <f t="shared" si="131"/>
        <v>3022100</v>
      </c>
      <c r="AX151" s="91">
        <f t="shared" si="131"/>
        <v>0</v>
      </c>
      <c r="AY151" s="91">
        <f t="shared" si="131"/>
        <v>1520800</v>
      </c>
      <c r="AZ151" s="91">
        <f t="shared" si="131"/>
        <v>0</v>
      </c>
      <c r="BA151" s="91">
        <f t="shared" si="131"/>
        <v>0</v>
      </c>
      <c r="BB151" s="91">
        <f t="shared" si="131"/>
        <v>1222900</v>
      </c>
      <c r="BC151" s="91">
        <f t="shared" si="131"/>
        <v>24200</v>
      </c>
      <c r="BD151" s="91">
        <f t="shared" si="131"/>
        <v>3067900</v>
      </c>
      <c r="BE151" s="91">
        <f t="shared" si="131"/>
        <v>3636400</v>
      </c>
      <c r="BF151" s="91">
        <f t="shared" si="131"/>
        <v>6559700</v>
      </c>
      <c r="BG151" s="91">
        <f t="shared" si="131"/>
        <v>1100100</v>
      </c>
      <c r="BH151" s="91">
        <f t="shared" si="131"/>
        <v>6782500</v>
      </c>
      <c r="BI151" s="91">
        <f t="shared" si="131"/>
        <v>3443300</v>
      </c>
      <c r="BJ151" s="91">
        <f t="shared" si="131"/>
        <v>1272800</v>
      </c>
      <c r="BK151" s="91">
        <f t="shared" si="131"/>
        <v>3313100</v>
      </c>
      <c r="BL151" s="91">
        <f t="shared" si="131"/>
        <v>3735000</v>
      </c>
      <c r="BM151" s="91">
        <f t="shared" si="131"/>
        <v>805700</v>
      </c>
      <c r="BN151" s="91">
        <f t="shared" si="131"/>
        <v>2813700</v>
      </c>
      <c r="BO151" s="91">
        <f t="shared" si="131"/>
        <v>7042300</v>
      </c>
      <c r="BP151" s="91">
        <f t="shared" ref="BP151:BZ151" si="132">ROUND(IF(BP143&lt;$C143*$C149,($C143*$C149-BP143)*BP138,0),-2)</f>
        <v>7094200</v>
      </c>
      <c r="BQ151" s="91">
        <f t="shared" si="132"/>
        <v>2783200</v>
      </c>
      <c r="BR151" s="91">
        <f t="shared" si="132"/>
        <v>0</v>
      </c>
      <c r="BS151" s="91">
        <f t="shared" si="132"/>
        <v>0</v>
      </c>
      <c r="BT151" s="91">
        <f t="shared" si="132"/>
        <v>0</v>
      </c>
      <c r="BU151" s="91">
        <f t="shared" si="132"/>
        <v>697200</v>
      </c>
      <c r="BV151" s="91">
        <f t="shared" si="132"/>
        <v>1319400</v>
      </c>
      <c r="BW151" s="91">
        <f t="shared" si="132"/>
        <v>0</v>
      </c>
      <c r="BX151" s="91">
        <f t="shared" si="132"/>
        <v>0</v>
      </c>
      <c r="BY151" s="91">
        <f t="shared" si="132"/>
        <v>1218600</v>
      </c>
      <c r="BZ151" s="91">
        <f t="shared" si="132"/>
        <v>0</v>
      </c>
    </row>
    <row r="152" spans="1:80" x14ac:dyDescent="0.2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</row>
    <row r="153" spans="1:80" x14ac:dyDescent="0.2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</row>
    <row r="154" spans="1:80" x14ac:dyDescent="0.2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</row>
    <row r="155" spans="1:80" x14ac:dyDescent="0.2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</row>
    <row r="156" spans="1:80" x14ac:dyDescent="0.2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</row>
    <row r="157" spans="1:80" x14ac:dyDescent="0.2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</row>
    <row r="158" spans="1:80" x14ac:dyDescent="0.2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</row>
    <row r="159" spans="1:80" x14ac:dyDescent="0.2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</row>
    <row r="160" spans="1:80" x14ac:dyDescent="0.2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</row>
    <row r="161" spans="3:78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</row>
    <row r="162" spans="3:78" x14ac:dyDescent="0.2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</row>
    <row r="163" spans="3:78" x14ac:dyDescent="0.2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</row>
    <row r="164" spans="3:78" x14ac:dyDescent="0.2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</row>
    <row r="165" spans="3:78" x14ac:dyDescent="0.2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</row>
    <row r="166" spans="3:78" x14ac:dyDescent="0.2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</row>
    <row r="167" spans="3:78" x14ac:dyDescent="0.2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</row>
    <row r="168" spans="3:78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</row>
    <row r="169" spans="3:78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</row>
    <row r="170" spans="3:78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</row>
    <row r="171" spans="3:78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</row>
    <row r="172" spans="3:78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</row>
    <row r="173" spans="3:78" x14ac:dyDescent="0.2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</row>
    <row r="174" spans="3:78" x14ac:dyDescent="0.2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</row>
    <row r="175" spans="3:78" x14ac:dyDescent="0.2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</row>
    <row r="176" spans="3:78" x14ac:dyDescent="0.2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D66"/>
  <sheetViews>
    <sheetView showGridLines="0" workbookViewId="0">
      <selection activeCell="A86" sqref="A86"/>
    </sheetView>
  </sheetViews>
  <sheetFormatPr baseColWidth="10" defaultRowHeight="12.75" x14ac:dyDescent="0.2"/>
  <cols>
    <col min="1" max="1" width="4.140625" bestFit="1" customWidth="1"/>
    <col min="2" max="2" width="59.5703125" bestFit="1" customWidth="1"/>
    <col min="3" max="3" width="22.42578125" customWidth="1"/>
    <col min="4" max="4" width="22.42578125" bestFit="1" customWidth="1"/>
  </cols>
  <sheetData>
    <row r="1" spans="1:4" x14ac:dyDescent="0.2">
      <c r="A1" s="19" t="s">
        <v>194</v>
      </c>
    </row>
    <row r="2" spans="1:4" x14ac:dyDescent="0.2">
      <c r="A2" t="s">
        <v>195</v>
      </c>
    </row>
    <row r="5" spans="1:4" ht="26.25" x14ac:dyDescent="0.4">
      <c r="A5" s="16" t="s">
        <v>235</v>
      </c>
    </row>
    <row r="7" spans="1:4" x14ac:dyDescent="0.2">
      <c r="B7" s="18" t="s">
        <v>203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Schule Basis'!B10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Schule Basis'!B12</f>
        <v>Einwohnerzahl per 31.12.</v>
      </c>
      <c r="C13" s="43">
        <f>HLOOKUP(C$9,'SL Schule Basis'!$C$8:$BZ$64,5,FALSE)</f>
        <v>525967</v>
      </c>
      <c r="D13" s="43" t="e">
        <f>HLOOKUP(D$9,'SL Schule Basis'!$C$8:$BZ$64,5,FALSE)</f>
        <v>#N/A</v>
      </c>
    </row>
    <row r="14" spans="1:4" x14ac:dyDescent="0.2">
      <c r="B14" s="28"/>
      <c r="C14" s="19"/>
      <c r="D14" s="19"/>
    </row>
    <row r="15" spans="1:4" x14ac:dyDescent="0.2">
      <c r="B15" t="str">
        <f>'SL Schule Basis'!B14</f>
        <v>Schülerzahlen Volksschule per 31.12.2022</v>
      </c>
      <c r="C15" s="35">
        <f>HLOOKUP(C$9,'SL Schule Basis'!$C$8:$BZ$64,7,FALSE)</f>
        <v>59299</v>
      </c>
      <c r="D15" s="36" t="e">
        <f>HLOOKUP(D$9,'SL Schule Basis'!$C$8:$BZ$64,7,FALSE)</f>
        <v>#N/A</v>
      </c>
    </row>
    <row r="16" spans="1:4" x14ac:dyDescent="0.2">
      <c r="B16" t="str">
        <f>'SL Schule Basis'!B15</f>
        <v>Schülerzahlen Sonderschule per 31.12.2022</v>
      </c>
      <c r="C16" s="35">
        <f>HLOOKUP(C$9,'SL Schule Basis'!$C$8:$BZ$64,8,FALSE)</f>
        <v>1550</v>
      </c>
      <c r="D16" s="36" t="e">
        <f>HLOOKUP(D$9,'SL Schule Basis'!$C$8:$BZ$64,8,FALSE)</f>
        <v>#N/A</v>
      </c>
    </row>
    <row r="17" spans="1:4" x14ac:dyDescent="0.2">
      <c r="C17" s="3"/>
      <c r="D17" s="3"/>
    </row>
    <row r="18" spans="1:4" x14ac:dyDescent="0.2">
      <c r="B18" t="str">
        <f>'SL Schule Basis'!B17</f>
        <v>Nettoaufwand Schulrat in Einheitsgemeinden (Funktion 0121)</v>
      </c>
      <c r="C18" s="3">
        <f>HLOOKUP(C$9,'SL Schule Basis'!$C$8:$BZ$64,10,FALSE)</f>
        <v>6141355.4799999995</v>
      </c>
      <c r="D18" s="10" t="e">
        <f>HLOOKUP(D$9,'SL Schule Basis'!$C$8:$BZ$64,10,FALSE)</f>
        <v>#N/A</v>
      </c>
    </row>
    <row r="19" spans="1:4" x14ac:dyDescent="0.2">
      <c r="B19" t="str">
        <f>'SL Schule Basis'!B18</f>
        <v>Nettoaufwand Obligatorische Schule (Funktion 21)</v>
      </c>
      <c r="C19" s="3">
        <f>HLOOKUP(C$9,'SL Schule Basis'!$C$8:$BZ$64,11,FALSE)</f>
        <v>1147748320.9500003</v>
      </c>
      <c r="D19" s="10" t="e">
        <f>HLOOKUP(D$9,'SL Schule Basis'!$C$8:$BZ$64,11,FALSE)</f>
        <v>#N/A</v>
      </c>
    </row>
    <row r="20" spans="1:4" x14ac:dyDescent="0.2">
      <c r="B20" t="str">
        <f>'SL Schule Basis'!B19</f>
        <v>Nettoaufwand Schulgesundheitsdienst in EHG (Funktion 433)</v>
      </c>
      <c r="C20" s="3">
        <f>HLOOKUP(C$9,'SL Schule Basis'!$C$8:$BZ$64,12,FALSE)</f>
        <v>3841561.859999998</v>
      </c>
      <c r="D20" s="10" t="e">
        <f>HLOOKUP(D$9,'SL Schule Basis'!$C$8:$BZ$64,12,FALSE)</f>
        <v>#N/A</v>
      </c>
    </row>
    <row r="21" spans="1:4" x14ac:dyDescent="0.2">
      <c r="B21" t="str">
        <f>'SL Schule Basis'!B20</f>
        <v>Total</v>
      </c>
      <c r="C21" s="3">
        <f>HLOOKUP(C$9,'SL Schule Basis'!$C$8:$BZ$64,13,FALSE)</f>
        <v>1157731238.2900002</v>
      </c>
      <c r="D21" s="3" t="e">
        <f>HLOOKUP(D$9,'SL Schule Basis'!$C$8:$BZ$64,13,FALSE)</f>
        <v>#N/A</v>
      </c>
    </row>
    <row r="22" spans="1:4" x14ac:dyDescent="0.2">
      <c r="C22" s="3"/>
      <c r="D22" s="3"/>
    </row>
    <row r="23" spans="1:4" x14ac:dyDescent="0.2">
      <c r="B23" t="str">
        <f>'SL Schule Basis'!B22</f>
        <v>Kantonaler Durchschnitt Kosten je Schüler</v>
      </c>
      <c r="C23" s="3">
        <f>HLOOKUP(C$9,'SL Schule Basis'!$C$8:$BZ$64,15,FALSE)</f>
        <v>19523.621617396588</v>
      </c>
      <c r="D23" s="3"/>
    </row>
    <row r="24" spans="1:4" x14ac:dyDescent="0.2">
      <c r="C24" s="3"/>
      <c r="D24" s="3"/>
    </row>
    <row r="25" spans="1:4" x14ac:dyDescent="0.2">
      <c r="C25" s="3"/>
      <c r="D25" s="3"/>
    </row>
    <row r="26" spans="1:4" ht="15.75" x14ac:dyDescent="0.25">
      <c r="A26" s="20" t="s">
        <v>98</v>
      </c>
      <c r="B26" s="20" t="str">
        <f>'SL Schule Basis'!B25</f>
        <v>Berechnung Sonderlastenausgleich Schule</v>
      </c>
      <c r="C26" s="34"/>
      <c r="D26" s="34"/>
    </row>
    <row r="27" spans="1:4" x14ac:dyDescent="0.2">
      <c r="C27" s="3"/>
      <c r="D27" s="3"/>
    </row>
    <row r="28" spans="1:4" x14ac:dyDescent="0.2">
      <c r="A28" s="46" t="s">
        <v>128</v>
      </c>
      <c r="B28" s="44" t="str">
        <f>'SL Schule Basis'!B27</f>
        <v>Sonder-/Minderlasten Volksschule</v>
      </c>
      <c r="C28" s="45"/>
      <c r="D28" s="45"/>
    </row>
    <row r="29" spans="1:4" x14ac:dyDescent="0.2">
      <c r="C29" s="3"/>
      <c r="D29" s="3"/>
    </row>
    <row r="30" spans="1:4" x14ac:dyDescent="0.2">
      <c r="B30" t="str">
        <f>'SL Schule Basis'!B29</f>
        <v>Beitragssatz Volksschule bei überdurchschnittlicher Belastung</v>
      </c>
      <c r="C30" s="8">
        <f>HLOOKUP(C$9,'SL Schule Basis'!$C$8:$BZ$64,22,FALSE)</f>
        <v>0.65</v>
      </c>
      <c r="D30" s="3"/>
    </row>
    <row r="31" spans="1:4" x14ac:dyDescent="0.2">
      <c r="B31" t="str">
        <f>'SL Schule Basis'!B30</f>
        <v>Beitragssatz Volksschule bei unterdurchschnittlicher Belastung</v>
      </c>
      <c r="C31" s="8">
        <f>HLOOKUP(C$9,'SL Schule Basis'!$C$8:$BZ$64,23,FALSE)</f>
        <v>0.2</v>
      </c>
      <c r="D31" s="3"/>
    </row>
    <row r="32" spans="1:4" x14ac:dyDescent="0.2">
      <c r="B32" t="str">
        <f>'SL Schule Basis'!B31</f>
        <v>Volksschüler je Einwohner</v>
      </c>
      <c r="C32" s="47">
        <f>HLOOKUP(C$9,'SL Schule Basis'!$C$8:$BZ$64,24,FALSE)</f>
        <v>0.11274281466327736</v>
      </c>
      <c r="D32" s="47" t="e">
        <f>HLOOKUP(D$9,'SL Schule Basis'!$C$8:$BZ$64,24,FALSE)</f>
        <v>#N/A</v>
      </c>
    </row>
    <row r="33" spans="1:4" x14ac:dyDescent="0.2">
      <c r="B33" t="str">
        <f>'SL Schule Basis'!B32</f>
        <v>BLD-Sozialindex per 31.12.</v>
      </c>
      <c r="C33" s="3"/>
      <c r="D33" s="53" t="e">
        <f>HLOOKUP(D$9,'SL Schule Basis'!$C$8:$BZ$64,25,FALSE)</f>
        <v>#N/A</v>
      </c>
    </row>
    <row r="34" spans="1:4" x14ac:dyDescent="0.2">
      <c r="B34" t="str">
        <f>'SL Schule Basis'!B33</f>
        <v>reduzierter BLD-Sozialindex per 31.12.</v>
      </c>
      <c r="C34" s="3"/>
      <c r="D34" s="3" t="e">
        <f>HLOOKUP(D$9,'SL Schule Basis'!$C$8:$BZ$64,26,FALSE)</f>
        <v>#N/A</v>
      </c>
    </row>
    <row r="35" spans="1:4" x14ac:dyDescent="0.2">
      <c r="C35" s="3"/>
      <c r="D35" s="3"/>
    </row>
    <row r="36" spans="1:4" x14ac:dyDescent="0.2">
      <c r="A36" s="19"/>
      <c r="B36" s="19" t="str">
        <f>'SL Schule Basis'!B35</f>
        <v>Sonder-/Minderlasten Volksschule (vor allfälliger Kürzung)</v>
      </c>
      <c r="C36" s="13"/>
      <c r="D36" s="13" t="e">
        <f>HLOOKUP(D$9,'SL Schule Basis'!$C$8:$BZ$64,28,FALSE)</f>
        <v>#N/A</v>
      </c>
    </row>
    <row r="37" spans="1:4" x14ac:dyDescent="0.2">
      <c r="C37" s="3"/>
      <c r="D37" s="3"/>
    </row>
    <row r="38" spans="1:4" x14ac:dyDescent="0.2">
      <c r="A38" s="46" t="s">
        <v>129</v>
      </c>
      <c r="B38" s="44" t="str">
        <f>'SL Schule Basis'!B37</f>
        <v>Sonderlasten Sonderschule</v>
      </c>
      <c r="C38" s="45"/>
      <c r="D38" s="45"/>
    </row>
    <row r="39" spans="1:4" x14ac:dyDescent="0.2">
      <c r="C39" s="3"/>
      <c r="D39" s="3"/>
    </row>
    <row r="40" spans="1:4" x14ac:dyDescent="0.2">
      <c r="B40" t="str">
        <f>'SL Schule Basis'!B39</f>
        <v>Pauschalbeitrag je Schüler in der Sonderschule</v>
      </c>
      <c r="C40" s="10">
        <f>HLOOKUP(C$9,'SL Schule Basis'!$C$8:$BZ$64,32,FALSE)</f>
        <v>11000</v>
      </c>
      <c r="D40" s="3"/>
    </row>
    <row r="41" spans="1:4" x14ac:dyDescent="0.2">
      <c r="B41" t="str">
        <f>'SL Schule Basis'!B40</f>
        <v>Beitragssatz Sonderschule</v>
      </c>
      <c r="C41" s="8">
        <f>HLOOKUP(C$9,'SL Schule Basis'!$C$8:$BZ$64,33,FALSE)</f>
        <v>0.65</v>
      </c>
      <c r="D41" s="3"/>
    </row>
    <row r="42" spans="1:4" x14ac:dyDescent="0.2">
      <c r="B42" t="str">
        <f>'SL Schule Basis'!B41</f>
        <v>Sonderschüler je Einwohner</v>
      </c>
      <c r="C42" s="47">
        <f>HLOOKUP(C$9,'SL Schule Basis'!$C$8:$BZ$64,34,FALSE)</f>
        <v>2.9469529457171267E-3</v>
      </c>
      <c r="D42" s="47" t="e">
        <f>HLOOKUP(D$9,'SL Schule Basis'!$C$8:$BZ$64,34,FALSE)</f>
        <v>#N/A</v>
      </c>
    </row>
    <row r="43" spans="1:4" x14ac:dyDescent="0.2">
      <c r="C43" s="3"/>
      <c r="D43" s="3"/>
    </row>
    <row r="44" spans="1:4" x14ac:dyDescent="0.2">
      <c r="A44" s="19"/>
      <c r="B44" s="19" t="str">
        <f>'SL Schule Basis'!B43</f>
        <v>Sonderlasten Sonderschule (vor allfälliger Kürzung)</v>
      </c>
      <c r="C44" s="13"/>
      <c r="D44" s="13" t="e">
        <f>HLOOKUP(D$9,'SL Schule Basis'!$C$8:$BZ$64,36,FALSE)</f>
        <v>#N/A</v>
      </c>
    </row>
    <row r="45" spans="1:4" x14ac:dyDescent="0.2">
      <c r="C45" s="3"/>
      <c r="D45" s="3"/>
    </row>
    <row r="46" spans="1:4" x14ac:dyDescent="0.2">
      <c r="A46" s="46" t="s">
        <v>137</v>
      </c>
      <c r="B46" s="44" t="str">
        <f>'SL Schule Basis'!B45</f>
        <v>Sonderlastenausgleich Schule (vor allfälliger Kürzung)</v>
      </c>
      <c r="C46" s="45"/>
      <c r="D46" s="45" t="e">
        <f>HLOOKUP(D$9,'SL Schule Basis'!$C$8:$BZ$64,38,FALSE)</f>
        <v>#N/A</v>
      </c>
    </row>
    <row r="47" spans="1:4" x14ac:dyDescent="0.2">
      <c r="C47" s="3"/>
      <c r="D47" s="3"/>
    </row>
    <row r="48" spans="1:4" x14ac:dyDescent="0.2">
      <c r="A48" s="46" t="s">
        <v>143</v>
      </c>
      <c r="B48" s="44" t="str">
        <f>'SL Schule Basis'!B47</f>
        <v>Kürzung infolge hoher technischer Steuerkraft</v>
      </c>
      <c r="C48" s="50"/>
      <c r="D48" s="50"/>
    </row>
    <row r="49" spans="1:4" x14ac:dyDescent="0.2">
      <c r="C49" s="3"/>
      <c r="D49" s="3"/>
    </row>
    <row r="50" spans="1:4" x14ac:dyDescent="0.2">
      <c r="B50" t="str">
        <f>'SL Schule Basis'!B49</f>
        <v>Technische Steuerkraft in % zum kantonalen Durchschnitt</v>
      </c>
      <c r="C50" s="3"/>
      <c r="D50" s="49" t="e">
        <f>HLOOKUP(D$9,'SL Schule Basis'!$C$8:$BZ$64,42,FALSE)</f>
        <v>#N/A</v>
      </c>
    </row>
    <row r="51" spans="1:4" x14ac:dyDescent="0.2">
      <c r="C51" s="3"/>
      <c r="D51" s="49"/>
    </row>
    <row r="52" spans="1:4" x14ac:dyDescent="0.2">
      <c r="B52" t="str">
        <f>'SL Schule Basis'!B51</f>
        <v>Kürzungsfaktor in %</v>
      </c>
      <c r="C52" s="3"/>
      <c r="D52" s="49" t="e">
        <f>HLOOKUP(D$9,'SL Schule Basis'!$C$8:$BZ$64,44,FALSE)</f>
        <v>#N/A</v>
      </c>
    </row>
    <row r="53" spans="1:4" x14ac:dyDescent="0.2">
      <c r="A53" s="3"/>
      <c r="B53" s="3" t="str">
        <f>'SL Schule Basis'!B52</f>
        <v>Kürzung in Fr.</v>
      </c>
      <c r="C53" s="3"/>
      <c r="D53" s="3" t="e">
        <f>HLOOKUP(D$9,'SL Schule Basis'!$C$8:$BZ$64,45,FALSE)</f>
        <v>#N/A</v>
      </c>
    </row>
    <row r="54" spans="1:4" x14ac:dyDescent="0.2">
      <c r="C54" s="3"/>
      <c r="D54" s="3"/>
    </row>
    <row r="55" spans="1:4" x14ac:dyDescent="0.2">
      <c r="C55" s="3"/>
      <c r="D55" s="3"/>
    </row>
    <row r="56" spans="1:4" ht="15.75" x14ac:dyDescent="0.25">
      <c r="A56" s="51" t="s">
        <v>99</v>
      </c>
      <c r="B56" s="51" t="str">
        <f>'SL Schule Basis'!B55</f>
        <v>Zusammenfassung</v>
      </c>
      <c r="C56" s="52"/>
      <c r="D56" s="52"/>
    </row>
    <row r="57" spans="1:4" x14ac:dyDescent="0.2">
      <c r="C57" s="3"/>
      <c r="D57" s="3"/>
    </row>
    <row r="58" spans="1:4" x14ac:dyDescent="0.2">
      <c r="B58" t="str">
        <f>'SL Schule Basis'!B57</f>
        <v>Sonder-/Minderlasten Volksschule</v>
      </c>
      <c r="C58" s="3">
        <f>HLOOKUP(C$9,'SL Schule Basis'!$C$8:$BZ$64,50,FALSE)</f>
        <v>21313353.812124602</v>
      </c>
      <c r="D58" s="3" t="e">
        <f>HLOOKUP(D$9,'SL Schule Basis'!$C$8:$BZ$64,50,FALSE)</f>
        <v>#N/A</v>
      </c>
    </row>
    <row r="59" spans="1:4" x14ac:dyDescent="0.2">
      <c r="B59" t="str">
        <f>'SL Schule Basis'!B58</f>
        <v>Sonderlasten Sonderschule</v>
      </c>
      <c r="C59" s="3">
        <f>HLOOKUP(C$9,'SL Schule Basis'!$C$8:$BZ$64,51,FALSE)</f>
        <v>1271811.5499641618</v>
      </c>
      <c r="D59" s="3" t="e">
        <f>HLOOKUP(D$9,'SL Schule Basis'!$C$8:$BZ$64,51,FALSE)</f>
        <v>#N/A</v>
      </c>
    </row>
    <row r="60" spans="1:4" x14ac:dyDescent="0.2">
      <c r="C60" s="3"/>
      <c r="D60" s="3"/>
    </row>
    <row r="61" spans="1:4" x14ac:dyDescent="0.2">
      <c r="A61" s="19"/>
      <c r="B61" s="19" t="str">
        <f>'SL Schule Basis'!B60</f>
        <v>Sonderlastenausgleich Schule (vor allfälliger Kürzung)</v>
      </c>
      <c r="C61" s="13">
        <f>HLOOKUP(C$9,'SL Schule Basis'!$C$8:$BZ$64,53,FALSE)</f>
        <v>32462076.315303039</v>
      </c>
      <c r="D61" s="13" t="e">
        <f>HLOOKUP(D$9,'SL Schule Basis'!$C$8:$BZ$64,53,FALSE)</f>
        <v>#N/A</v>
      </c>
    </row>
    <row r="62" spans="1:4" x14ac:dyDescent="0.2">
      <c r="A62" s="19"/>
      <c r="B62" s="19"/>
      <c r="C62" s="13"/>
      <c r="D62" s="13"/>
    </row>
    <row r="63" spans="1:4" x14ac:dyDescent="0.2">
      <c r="B63" t="str">
        <f>'SL Schule Basis'!B62</f>
        <v>Kürzung infolge hoher technischer Steuerkraft</v>
      </c>
      <c r="C63" s="3">
        <f>HLOOKUP(C$9,'SL Schule Basis'!$C$8:$BZ$64,55,FALSE)</f>
        <v>-1243436.9807934316</v>
      </c>
      <c r="D63" s="3" t="e">
        <f>HLOOKUP(D$9,'SL Schule Basis'!$C$8:$BZ$64,55,FALSE)</f>
        <v>#N/A</v>
      </c>
    </row>
    <row r="64" spans="1:4" x14ac:dyDescent="0.2">
      <c r="C64" s="3"/>
      <c r="D64" s="3"/>
    </row>
    <row r="65" spans="1:4" x14ac:dyDescent="0.2">
      <c r="A65" s="38"/>
      <c r="B65" s="38" t="str">
        <f>'SL Schule Basis'!B64</f>
        <v>Beitrag Sonderlastenausgleich Schule</v>
      </c>
      <c r="C65" s="39">
        <f>HLOOKUP(C$9,'SL Schule Basis'!$C$8:$BZ$64,57,FALSE)</f>
        <v>31219100</v>
      </c>
      <c r="D65" s="39" t="e">
        <f>HLOOKUP(D$9,'SL Schule Basis'!$C$8:$BZ$64,57,FALSE)</f>
        <v>#N/A</v>
      </c>
    </row>
    <row r="66" spans="1:4" x14ac:dyDescent="0.2">
      <c r="C66" s="3"/>
      <c r="D66" s="3"/>
    </row>
  </sheetData>
  <sheetProtection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</sheetPr>
  <dimension ref="A1:D56"/>
  <sheetViews>
    <sheetView showGridLines="0" workbookViewId="0">
      <selection activeCell="A83" sqref="A83"/>
    </sheetView>
  </sheetViews>
  <sheetFormatPr baseColWidth="10" defaultRowHeight="12.75" x14ac:dyDescent="0.2"/>
  <cols>
    <col min="1" max="1" width="4.140625" bestFit="1" customWidth="1"/>
    <col min="2" max="2" width="50.42578125" customWidth="1"/>
    <col min="3" max="3" width="22.42578125" customWidth="1"/>
    <col min="4" max="4" width="22.42578125" bestFit="1" customWidth="1"/>
  </cols>
  <sheetData>
    <row r="1" spans="1:4" x14ac:dyDescent="0.2">
      <c r="A1" s="19" t="s">
        <v>194</v>
      </c>
    </row>
    <row r="2" spans="1:4" x14ac:dyDescent="0.2">
      <c r="A2" t="s">
        <v>195</v>
      </c>
    </row>
    <row r="5" spans="1:4" ht="26.25" x14ac:dyDescent="0.4">
      <c r="A5" s="16" t="s">
        <v>238</v>
      </c>
    </row>
    <row r="7" spans="1:4" x14ac:dyDescent="0.2">
      <c r="B7" s="18" t="s">
        <v>203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Sozio Basis'!B10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Sozio Basis'!B12</f>
        <v>Einwohnerzahl per 31.12.</v>
      </c>
      <c r="C13" s="43">
        <f>HLOOKUP(C$9,'SL Sozio Basis'!$C$8:$BZ$55,5,FALSE)</f>
        <v>525967</v>
      </c>
      <c r="D13" s="43" t="e">
        <f>HLOOKUP(D$9,'SL Sozio Basis'!$C$8:$BZ$55,5,FALSE)</f>
        <v>#N/A</v>
      </c>
    </row>
    <row r="14" spans="1:4" x14ac:dyDescent="0.2">
      <c r="C14" s="3"/>
      <c r="D14" s="3"/>
    </row>
    <row r="15" spans="1:4" x14ac:dyDescent="0.2">
      <c r="C15" s="3"/>
      <c r="D15" s="3"/>
    </row>
    <row r="16" spans="1:4" ht="15.75" x14ac:dyDescent="0.25">
      <c r="A16" s="20" t="s">
        <v>98</v>
      </c>
      <c r="B16" s="20" t="str">
        <f>'SL Sozio Basis'!B15</f>
        <v>Berechnung Soziodemographischer Sonderlastenausgleich</v>
      </c>
      <c r="C16" s="34"/>
      <c r="D16" s="34"/>
    </row>
    <row r="17" spans="1:4" x14ac:dyDescent="0.2">
      <c r="C17" s="3"/>
      <c r="D17" s="3"/>
    </row>
    <row r="18" spans="1:4" x14ac:dyDescent="0.2">
      <c r="A18" s="46" t="s">
        <v>128</v>
      </c>
      <c r="B18" s="44" t="str">
        <f>'SL Sozio Basis'!B17</f>
        <v>Sonderlasten Familie und Jugend</v>
      </c>
      <c r="C18" s="45"/>
      <c r="D18" s="45"/>
    </row>
    <row r="19" spans="1:4" x14ac:dyDescent="0.2">
      <c r="C19" s="3"/>
      <c r="D19" s="3"/>
    </row>
    <row r="20" spans="1:4" x14ac:dyDescent="0.2">
      <c r="B20" t="str">
        <f>'SL Sozio Basis'!B19</f>
        <v>Beitragssatz bei überdurchschnittlicher Belastung</v>
      </c>
      <c r="C20" s="8">
        <f>HLOOKUP(C$9,'SL Sozio Basis'!$C$8:$BZ$55,12,FALSE)</f>
        <v>0.6</v>
      </c>
      <c r="D20" s="3"/>
    </row>
    <row r="21" spans="1:4" x14ac:dyDescent="0.2">
      <c r="C21" s="4"/>
      <c r="D21" s="3"/>
    </row>
    <row r="22" spans="1:4" x14ac:dyDescent="0.2">
      <c r="B22" t="str">
        <f>'SL Sozio Basis'!B21</f>
        <v>Nettoaufwand Familie und Jugend (Funktion 54)</v>
      </c>
      <c r="C22" s="3">
        <f>HLOOKUP(C$9,'SL Sozio Basis'!$C$8:$BZ$55,14,FALSE)</f>
        <v>68075435.319999978</v>
      </c>
      <c r="D22" s="10" t="e">
        <f>HLOOKUP(D$9,'SL Sozio Basis'!$C$8:$BZ$55,14,FALSE)</f>
        <v>#N/A</v>
      </c>
    </row>
    <row r="23" spans="1:4" x14ac:dyDescent="0.2">
      <c r="B23" t="str">
        <f>'SL Sozio Basis'!B22</f>
        <v>Nettoaufwand Familie und Jugend pro Einwohner</v>
      </c>
      <c r="C23" s="3">
        <f>HLOOKUP(C$9,'SL Sozio Basis'!$C$8:$BZ$55,15,FALSE)</f>
        <v>129.42909977241914</v>
      </c>
      <c r="D23" s="3" t="e">
        <f>HLOOKUP(D$9,'SL Sozio Basis'!$C$8:$BZ$55,15,FALSE)</f>
        <v>#N/A</v>
      </c>
    </row>
    <row r="24" spans="1:4" x14ac:dyDescent="0.2">
      <c r="C24" s="4"/>
      <c r="D24" s="3"/>
    </row>
    <row r="25" spans="1:4" x14ac:dyDescent="0.2">
      <c r="A25" s="19"/>
      <c r="B25" s="19" t="str">
        <f>'SL Sozio Basis'!B24</f>
        <v>Sonderlasten Familie und Jugend</v>
      </c>
      <c r="C25" s="13">
        <f>HLOOKUP(C$9,'SL Sozio Basis'!$C$8:$BZ$55,17,FALSE)</f>
        <v>9455885.3920856919</v>
      </c>
      <c r="D25" s="13" t="e">
        <f>HLOOKUP(D$9,'SL Sozio Basis'!$C$8:$BZ$55,17,FALSE)</f>
        <v>#N/A</v>
      </c>
    </row>
    <row r="26" spans="1:4" x14ac:dyDescent="0.2">
      <c r="C26" s="4"/>
      <c r="D26" s="3"/>
    </row>
    <row r="27" spans="1:4" x14ac:dyDescent="0.2">
      <c r="C27" s="3"/>
      <c r="D27" s="3"/>
    </row>
    <row r="28" spans="1:4" x14ac:dyDescent="0.2">
      <c r="A28" s="46" t="s">
        <v>129</v>
      </c>
      <c r="B28" s="44" t="str">
        <f>'SL Sozio Basis'!B27</f>
        <v>Sonder-/Minderlasten Sozialhilfe</v>
      </c>
      <c r="C28" s="45"/>
      <c r="D28" s="45"/>
    </row>
    <row r="29" spans="1:4" x14ac:dyDescent="0.2">
      <c r="C29" s="3"/>
      <c r="D29" s="3"/>
    </row>
    <row r="30" spans="1:4" x14ac:dyDescent="0.2">
      <c r="B30" t="str">
        <f>'SL Sozio Basis'!B29</f>
        <v>Beitragssatz bei überdurchschnittlicher Belastung</v>
      </c>
      <c r="C30" s="8">
        <f>HLOOKUP(C$9,'SL Sozio Basis'!$C$8:$BZ$55,22,FALSE)</f>
        <v>0.6</v>
      </c>
      <c r="D30" s="3"/>
    </row>
    <row r="31" spans="1:4" x14ac:dyDescent="0.2">
      <c r="A31" s="19"/>
      <c r="B31" t="str">
        <f>'SL Sozio Basis'!B30</f>
        <v>Beitragssatz bei unterdurchschnittlicher Belastung</v>
      </c>
      <c r="C31" s="8">
        <f>HLOOKUP(C$9,'SL Sozio Basis'!$C$8:$BZ$55,23,FALSE)</f>
        <v>0.2</v>
      </c>
      <c r="D31" s="13"/>
    </row>
    <row r="32" spans="1:4" x14ac:dyDescent="0.2">
      <c r="A32" s="19"/>
      <c r="C32" s="4"/>
      <c r="D32" s="13"/>
    </row>
    <row r="33" spans="1:4" x14ac:dyDescent="0.2">
      <c r="B33" t="str">
        <f>'SL Sozio Basis'!B32</f>
        <v>Nettoaufwand Finanzielle Sozialhilfe (Funktion 572)</v>
      </c>
      <c r="C33" s="3">
        <f>HLOOKUP(C$9,'SL Sozio Basis'!$C$8:$BZ$55,25,FALSE)</f>
        <v>62351304.679999985</v>
      </c>
      <c r="D33" s="10" t="e">
        <f>HLOOKUP(D$9,'SL Sozio Basis'!$C$8:$BZ$55,25,FALSE)</f>
        <v>#N/A</v>
      </c>
    </row>
    <row r="34" spans="1:4" x14ac:dyDescent="0.2">
      <c r="B34" t="str">
        <f>'SL Sozio Basis'!B33</f>
        <v>Nettoaufwand Finanzielle Sozialhilfe pro Einwohner</v>
      </c>
      <c r="C34" s="3">
        <f>HLOOKUP(C$9,'SL Sozio Basis'!$C$8:$BZ$55,26,FALSE)</f>
        <v>118.54603935227873</v>
      </c>
      <c r="D34" s="3" t="e">
        <f>HLOOKUP(D$9,'SL Sozio Basis'!$C$8:$BZ$55,26,FALSE)</f>
        <v>#N/A</v>
      </c>
    </row>
    <row r="35" spans="1:4" x14ac:dyDescent="0.2">
      <c r="A35" s="19"/>
      <c r="B35" s="19"/>
      <c r="C35" s="13"/>
      <c r="D35" s="13"/>
    </row>
    <row r="36" spans="1:4" x14ac:dyDescent="0.2">
      <c r="A36" s="19"/>
      <c r="B36" s="19" t="str">
        <f>'SL Sozio Basis'!B35</f>
        <v>Sonder-/Minderlasten Sozialhilfe</v>
      </c>
      <c r="C36" s="13">
        <f>HLOOKUP(C$9,'SL Sozio Basis'!$C$8:$BZ$55,28,FALSE)</f>
        <v>8164921.8520233463</v>
      </c>
      <c r="D36" s="13" t="e">
        <f>HLOOKUP(D$9,'SL Sozio Basis'!$C$8:$BZ$55,28,FALSE)</f>
        <v>#N/A</v>
      </c>
    </row>
    <row r="37" spans="1:4" x14ac:dyDescent="0.2">
      <c r="A37" s="19"/>
      <c r="B37" s="19"/>
      <c r="C37" s="13"/>
      <c r="D37" s="13"/>
    </row>
    <row r="38" spans="1:4" x14ac:dyDescent="0.2">
      <c r="A38" s="19"/>
      <c r="B38" s="19"/>
      <c r="C38" s="13"/>
      <c r="D38" s="13"/>
    </row>
    <row r="39" spans="1:4" x14ac:dyDescent="0.2">
      <c r="A39" s="46" t="s">
        <v>137</v>
      </c>
      <c r="B39" s="44" t="str">
        <f>'SL Sozio Basis'!B38</f>
        <v>Sonder-/Minderlasten Stationäre Pflege</v>
      </c>
      <c r="C39" s="45"/>
      <c r="D39" s="45"/>
    </row>
    <row r="40" spans="1:4" x14ac:dyDescent="0.2">
      <c r="A40" s="19"/>
      <c r="B40" s="19"/>
      <c r="C40" s="13"/>
      <c r="D40" s="13"/>
    </row>
    <row r="41" spans="1:4" x14ac:dyDescent="0.2">
      <c r="B41" t="str">
        <f>'SL Sozio Basis'!B40</f>
        <v>Beitragssatz bei überdurchschnittlicher Belastung</v>
      </c>
      <c r="C41" s="8">
        <f>HLOOKUP(C$9,'SL Sozio Basis'!$C$8:$BZ$55,33,FALSE)</f>
        <v>0.6</v>
      </c>
      <c r="D41" s="3"/>
    </row>
    <row r="42" spans="1:4" x14ac:dyDescent="0.2">
      <c r="A42" s="19"/>
      <c r="B42" t="str">
        <f>'SL Sozio Basis'!B41</f>
        <v>Beitragssatz bei unterdurchschnittlicher Belastung</v>
      </c>
      <c r="C42" s="8">
        <f>HLOOKUP(C$9,'SL Sozio Basis'!$C$8:$BZ$55,34,FALSE)</f>
        <v>0.2</v>
      </c>
      <c r="D42" s="13"/>
    </row>
    <row r="43" spans="1:4" x14ac:dyDescent="0.2">
      <c r="A43" s="19"/>
      <c r="B43" s="19"/>
      <c r="C43" s="13"/>
      <c r="D43" s="13"/>
    </row>
    <row r="44" spans="1:4" x14ac:dyDescent="0.2">
      <c r="B44" t="str">
        <f>'SL Sozio Basis'!B43</f>
        <v>Nettoaufwand Stationäre Pflege</v>
      </c>
      <c r="C44" s="3">
        <f>HLOOKUP(C$9,'SL Sozio Basis'!$C$8:$BZ$55,36,FALSE)</f>
        <v>98735137.800000012</v>
      </c>
      <c r="D44" s="10" t="e">
        <f>HLOOKUP(D$9,'SL Sozio Basis'!$C$8:$BZ$55,36,FALSE)</f>
        <v>#N/A</v>
      </c>
    </row>
    <row r="45" spans="1:4" x14ac:dyDescent="0.2">
      <c r="B45" t="str">
        <f>'SL Sozio Basis'!B44</f>
        <v>Nettoaufwand Stationäre Pflege pro Einwohner</v>
      </c>
      <c r="C45" s="3">
        <f>HLOOKUP(C$9,'SL Sozio Basis'!$C$8:$BZ$55,37,FALSE)</f>
        <v>187.72116463580417</v>
      </c>
      <c r="D45" s="3" t="e">
        <f>HLOOKUP(D$9,'SL Sozio Basis'!$C$8:$BZ$55,37,FALSE)</f>
        <v>#N/A</v>
      </c>
    </row>
    <row r="46" spans="1:4" x14ac:dyDescent="0.2">
      <c r="A46" s="19"/>
      <c r="B46" s="19"/>
      <c r="C46" s="13"/>
      <c r="D46" s="13"/>
    </row>
    <row r="47" spans="1:4" x14ac:dyDescent="0.2">
      <c r="A47" s="19"/>
      <c r="B47" s="19" t="str">
        <f>'SL Sozio Basis'!B46</f>
        <v>Sonder-/Minderlasten Stationäre Pflege</v>
      </c>
      <c r="C47" s="13">
        <f>HLOOKUP(C$9,'SL Sozio Basis'!$C$8:$BZ$55,39,FALSE)</f>
        <v>4491184.2792570218</v>
      </c>
      <c r="D47" s="13" t="e">
        <f>HLOOKUP(D$9,'SL Sozio Basis'!$C$8:$BZ$55,39,FALSE)</f>
        <v>#N/A</v>
      </c>
    </row>
    <row r="48" spans="1:4" x14ac:dyDescent="0.2">
      <c r="A48" s="19"/>
      <c r="B48" s="19"/>
      <c r="C48" s="13"/>
      <c r="D48" s="13"/>
    </row>
    <row r="49" spans="1:4" x14ac:dyDescent="0.2">
      <c r="C49" s="3"/>
      <c r="D49" s="3"/>
    </row>
    <row r="50" spans="1:4" ht="15.75" x14ac:dyDescent="0.25">
      <c r="A50" s="51" t="s">
        <v>99</v>
      </c>
      <c r="B50" s="51" t="str">
        <f>'SL Sozio Basis'!B49</f>
        <v>Zusammenfassung</v>
      </c>
      <c r="C50" s="52"/>
      <c r="D50" s="52"/>
    </row>
    <row r="51" spans="1:4" x14ac:dyDescent="0.2">
      <c r="C51" s="3"/>
      <c r="D51" s="3"/>
    </row>
    <row r="52" spans="1:4" x14ac:dyDescent="0.2">
      <c r="B52" t="str">
        <f>'SL Sozio Basis'!B51</f>
        <v>Sonderlasten Familie und Jugend</v>
      </c>
      <c r="C52" s="3">
        <f>HLOOKUP(C$9,'SL Sozio Basis'!$C$8:$BZ$55,44,FALSE)</f>
        <v>9455885.3920856919</v>
      </c>
      <c r="D52" s="3" t="e">
        <f>HLOOKUP(D$9,'SL Sozio Basis'!$C$8:$BZ$55,44,FALSE)</f>
        <v>#N/A</v>
      </c>
    </row>
    <row r="53" spans="1:4" x14ac:dyDescent="0.2">
      <c r="B53" t="str">
        <f>'SL Sozio Basis'!B52</f>
        <v>Sonder-/Minderlasten Sozialhilfe</v>
      </c>
      <c r="C53" s="3">
        <f>HLOOKUP(C$9,'SL Sozio Basis'!$C$8:$BZ$55,45,FALSE)</f>
        <v>8164921.8520233463</v>
      </c>
      <c r="D53" s="3" t="e">
        <f>HLOOKUP(D$9,'SL Sozio Basis'!$C$8:$BZ$55,45,FALSE)</f>
        <v>#N/A</v>
      </c>
    </row>
    <row r="54" spans="1:4" x14ac:dyDescent="0.2">
      <c r="B54" t="str">
        <f>'SL Sozio Basis'!B53</f>
        <v>Sonder-/Minderlasten Stationäre Pflege</v>
      </c>
      <c r="C54" s="3">
        <f>HLOOKUP(C$9,'SL Sozio Basis'!$C$8:$BZ$55,46,FALSE)</f>
        <v>4491184.2792570218</v>
      </c>
      <c r="D54" s="3" t="e">
        <f>HLOOKUP(D$9,'SL Sozio Basis'!$C$8:$BZ$55,46,FALSE)</f>
        <v>#N/A</v>
      </c>
    </row>
    <row r="55" spans="1:4" x14ac:dyDescent="0.2">
      <c r="C55" s="3"/>
      <c r="D55" s="3"/>
    </row>
    <row r="56" spans="1:4" x14ac:dyDescent="0.2">
      <c r="A56" s="38"/>
      <c r="B56" s="38" t="str">
        <f>'SL Sozio Basis'!B55</f>
        <v>Beitrag Soziodemographischer Sonderlastenausgleich</v>
      </c>
      <c r="C56" s="39">
        <f>HLOOKUP(C$9,'SL Sozio Basis'!$C$8:$BZ$55,48,FALSE)</f>
        <v>26851900</v>
      </c>
      <c r="D56" s="39" t="e">
        <f>HLOOKUP(D$9,'SL Sozio Basis'!$C$8:$BZ$55,48,FALSE)</f>
        <v>#N/A</v>
      </c>
    </row>
  </sheetData>
  <sheetProtection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D19"/>
  <sheetViews>
    <sheetView showGridLines="0" workbookViewId="0">
      <selection activeCell="A33" sqref="A33"/>
    </sheetView>
  </sheetViews>
  <sheetFormatPr baseColWidth="10" defaultRowHeight="12.75" x14ac:dyDescent="0.2"/>
  <cols>
    <col min="1" max="1" width="4.140625" bestFit="1" customWidth="1"/>
    <col min="2" max="2" width="51" bestFit="1" customWidth="1"/>
    <col min="3" max="3" width="22.42578125" customWidth="1"/>
    <col min="4" max="4" width="22.42578125" bestFit="1" customWidth="1"/>
  </cols>
  <sheetData>
    <row r="1" spans="1:4" x14ac:dyDescent="0.2">
      <c r="A1" s="19" t="s">
        <v>194</v>
      </c>
    </row>
    <row r="2" spans="1:4" x14ac:dyDescent="0.2">
      <c r="A2" t="s">
        <v>195</v>
      </c>
    </row>
    <row r="5" spans="1:4" ht="26.25" x14ac:dyDescent="0.4">
      <c r="A5" s="16" t="s">
        <v>239</v>
      </c>
    </row>
    <row r="7" spans="1:4" x14ac:dyDescent="0.2">
      <c r="B7" s="18" t="s">
        <v>203</v>
      </c>
    </row>
    <row r="9" spans="1:4" x14ac:dyDescent="0.2">
      <c r="A9" s="19"/>
      <c r="B9" s="19"/>
      <c r="C9" s="22" t="str">
        <f>Finanzausgleichsbeiträge!B7</f>
        <v>bitte Gemeinde auswählen</v>
      </c>
      <c r="D9" s="22"/>
    </row>
    <row r="11" spans="1:4" ht="15.75" x14ac:dyDescent="0.25">
      <c r="A11" s="20" t="s">
        <v>97</v>
      </c>
      <c r="B11" s="21" t="str">
        <f>'SL Stadt SG Basis'!B10</f>
        <v>Berechnung SL Stadt St.Gallen</v>
      </c>
      <c r="C11" s="5"/>
      <c r="D11" s="40"/>
    </row>
    <row r="12" spans="1:4" x14ac:dyDescent="0.2">
      <c r="B12" s="22"/>
    </row>
    <row r="13" spans="1:4" x14ac:dyDescent="0.2">
      <c r="B13" s="26" t="str">
        <f>'SL Stadt SG Basis'!B12</f>
        <v>Ausgleichsbeitrag gemäss Art. 25 Abs. 1 FAG</v>
      </c>
      <c r="C13" s="3" t="e">
        <f>HLOOKUP(C9,'SL Stadt SG Basis'!C8:C18,5,FALSE)</f>
        <v>#N/A</v>
      </c>
    </row>
    <row r="14" spans="1:4" x14ac:dyDescent="0.2">
      <c r="B14" t="str">
        <f>'SL Stadt SG Basis'!B13</f>
        <v>zusätzlicher Ausgleichsbeitrag gemäss Art. 25 Abs. 2 FAG</v>
      </c>
      <c r="C14" s="3" t="e">
        <f>HLOOKUP(C9,'SL Stadt SG Basis'!C8:C18,6,FALSE)</f>
        <v>#N/A</v>
      </c>
      <c r="D14" s="19"/>
    </row>
    <row r="15" spans="1:4" x14ac:dyDescent="0.2">
      <c r="C15" s="3"/>
    </row>
    <row r="16" spans="1:4" x14ac:dyDescent="0.2">
      <c r="B16" t="str">
        <f>'SL Stadt SG Basis'!B15</f>
        <v>Indexstand Juni 2007 (Basis)</v>
      </c>
      <c r="C16" s="3" t="e">
        <f>HLOOKUP(C9,'SL Stadt SG Basis'!C8:C18,8,FALSE)</f>
        <v>#N/A</v>
      </c>
      <c r="D16" t="s">
        <v>115</v>
      </c>
    </row>
    <row r="17" spans="1:3" x14ac:dyDescent="0.2">
      <c r="B17" t="str">
        <f>'SL Stadt SG Basis'!B16</f>
        <v>Indexstand Juni 2023</v>
      </c>
      <c r="C17" s="10" t="e">
        <f>HLOOKUP(C9,'SL Stadt SG Basis'!C8:C18,9,FALSE)</f>
        <v>#N/A</v>
      </c>
    </row>
    <row r="18" spans="1:3" x14ac:dyDescent="0.2">
      <c r="C18" s="3"/>
    </row>
    <row r="19" spans="1:3" x14ac:dyDescent="0.2">
      <c r="A19" s="42"/>
      <c r="B19" s="38" t="str">
        <f>'SL Stadt SG Basis'!B18</f>
        <v>Beitrag Sonderlastenausgleich Stadt St.Gallen</v>
      </c>
      <c r="C19" s="39" t="e">
        <f>HLOOKUP(C9,'SL Stadt SG Basis'!C8:C18,11,FALSE)</f>
        <v>#N/A</v>
      </c>
    </row>
  </sheetData>
  <sheetProtection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B102"/>
  <sheetViews>
    <sheetView zoomScaleNormal="100" workbookViewId="0">
      <pane xSplit="3" ySplit="9" topLeftCell="BT22" activePane="bottomRight" state="frozen"/>
      <selection activeCell="B7" sqref="B7:E7"/>
      <selection pane="topRight" activeCell="B7" sqref="B7:E7"/>
      <selection pane="bottomLeft" activeCell="B7" sqref="B7:E7"/>
      <selection pane="bottomRight" activeCell="B7" sqref="B7:E7"/>
    </sheetView>
  </sheetViews>
  <sheetFormatPr baseColWidth="10" defaultRowHeight="12.75" x14ac:dyDescent="0.2"/>
  <cols>
    <col min="1" max="1" width="4" customWidth="1"/>
    <col min="2" max="2" width="52.425781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194</v>
      </c>
    </row>
    <row r="2" spans="1:80" x14ac:dyDescent="0.2">
      <c r="A2" t="s">
        <v>195</v>
      </c>
    </row>
    <row r="5" spans="1:80" ht="26.25" x14ac:dyDescent="0.4">
      <c r="A5" s="16" t="s">
        <v>234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233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3">
        <f>'Ressourcenausgleich Basis'!C124</f>
        <v>525967</v>
      </c>
      <c r="D12" s="43">
        <f>'Ressourcenausgleich Basis'!D124</f>
        <v>76931</v>
      </c>
      <c r="E12" s="43">
        <f>'Ressourcenausgleich Basis'!E124</f>
        <v>9914</v>
      </c>
      <c r="F12" s="43">
        <f>'Ressourcenausgleich Basis'!F124</f>
        <v>1393</v>
      </c>
      <c r="G12" s="43">
        <f>'Ressourcenausgleich Basis'!G124</f>
        <v>1253</v>
      </c>
      <c r="H12" s="43">
        <f>'Ressourcenausgleich Basis'!H124</f>
        <v>3619</v>
      </c>
      <c r="I12" s="43">
        <f>'Ressourcenausgleich Basis'!I124</f>
        <v>9562</v>
      </c>
      <c r="J12" s="43">
        <f>'Ressourcenausgleich Basis'!J124</f>
        <v>3583</v>
      </c>
      <c r="K12" s="43">
        <f>'Ressourcenausgleich Basis'!K124</f>
        <v>988</v>
      </c>
      <c r="L12" s="43">
        <f>'Ressourcenausgleich Basis'!L124</f>
        <v>1587</v>
      </c>
      <c r="M12" s="43">
        <f>'Ressourcenausgleich Basis'!M124</f>
        <v>1026</v>
      </c>
      <c r="N12" s="43">
        <f>'Ressourcenausgleich Basis'!N124</f>
        <v>2364</v>
      </c>
      <c r="O12" s="43">
        <f>'Ressourcenausgleich Basis'!O124</f>
        <v>7620</v>
      </c>
      <c r="P12" s="43">
        <f>'Ressourcenausgleich Basis'!P124</f>
        <v>9777</v>
      </c>
      <c r="Q12" s="43">
        <f>'Ressourcenausgleich Basis'!Q124</f>
        <v>6914</v>
      </c>
      <c r="R12" s="43">
        <f>'Ressourcenausgleich Basis'!R124</f>
        <v>3481</v>
      </c>
      <c r="S12" s="43">
        <f>'Ressourcenausgleich Basis'!S124</f>
        <v>6249</v>
      </c>
      <c r="T12" s="43">
        <f>'Ressourcenausgleich Basis'!T124</f>
        <v>8252</v>
      </c>
      <c r="U12" s="43">
        <f>'Ressourcenausgleich Basis'!U124</f>
        <v>3963</v>
      </c>
      <c r="V12" s="43">
        <f>'Ressourcenausgleich Basis'!V124</f>
        <v>5067</v>
      </c>
      <c r="W12" s="43">
        <f>'Ressourcenausgleich Basis'!W124</f>
        <v>6889</v>
      </c>
      <c r="X12" s="43">
        <f>'Ressourcenausgleich Basis'!X124</f>
        <v>10178</v>
      </c>
      <c r="Y12" s="43">
        <f>'Ressourcenausgleich Basis'!Y124</f>
        <v>4906</v>
      </c>
      <c r="Z12" s="43">
        <f>'Ressourcenausgleich Basis'!Z124</f>
        <v>2137</v>
      </c>
      <c r="AA12" s="43">
        <f>'Ressourcenausgleich Basis'!AA124</f>
        <v>12278</v>
      </c>
      <c r="AB12" s="43">
        <f>'Ressourcenausgleich Basis'!AB124</f>
        <v>1556</v>
      </c>
      <c r="AC12" s="43">
        <f>'Ressourcenausgleich Basis'!AC124</f>
        <v>9180</v>
      </c>
      <c r="AD12" s="43">
        <f>'Ressourcenausgleich Basis'!AD124</f>
        <v>2472</v>
      </c>
      <c r="AE12" s="43">
        <f>'Ressourcenausgleich Basis'!AE124</f>
        <v>6101</v>
      </c>
      <c r="AF12" s="43">
        <f>'Ressourcenausgleich Basis'!AF124</f>
        <v>3606</v>
      </c>
      <c r="AG12" s="43">
        <f>'Ressourcenausgleich Basis'!AG124</f>
        <v>7302</v>
      </c>
      <c r="AH12" s="43">
        <f>'Ressourcenausgleich Basis'!AH124</f>
        <v>13605</v>
      </c>
      <c r="AI12" s="43">
        <f>'Ressourcenausgleich Basis'!AI124</f>
        <v>5279</v>
      </c>
      <c r="AJ12" s="43">
        <f>'Ressourcenausgleich Basis'!AJ124</f>
        <v>5395</v>
      </c>
      <c r="AK12" s="43">
        <f>'Ressourcenausgleich Basis'!AK124</f>
        <v>6443</v>
      </c>
      <c r="AL12" s="43">
        <f>'Ressourcenausgleich Basis'!AL124</f>
        <v>5015</v>
      </c>
      <c r="AM12" s="43">
        <f>'Ressourcenausgleich Basis'!AM124</f>
        <v>6663</v>
      </c>
      <c r="AN12" s="43">
        <f>'Ressourcenausgleich Basis'!AN124</f>
        <v>1563</v>
      </c>
      <c r="AO12" s="43">
        <f>'Ressourcenausgleich Basis'!AO124</f>
        <v>9311</v>
      </c>
      <c r="AP12" s="43">
        <f>'Ressourcenausgleich Basis'!AP124</f>
        <v>5211</v>
      </c>
      <c r="AQ12" s="43">
        <f>'Ressourcenausgleich Basis'!AQ124</f>
        <v>5763</v>
      </c>
      <c r="AR12" s="43">
        <f>'Ressourcenausgleich Basis'!AR124</f>
        <v>3000</v>
      </c>
      <c r="AS12" s="43">
        <f>'Ressourcenausgleich Basis'!AS124</f>
        <v>1847</v>
      </c>
      <c r="AT12" s="43">
        <f>'Ressourcenausgleich Basis'!AT124</f>
        <v>1845</v>
      </c>
      <c r="AU12" s="43">
        <f>'Ressourcenausgleich Basis'!AU124</f>
        <v>4021</v>
      </c>
      <c r="AV12" s="43">
        <f>'Ressourcenausgleich Basis'!AV124</f>
        <v>3018</v>
      </c>
      <c r="AW12" s="43">
        <f>'Ressourcenausgleich Basis'!AW124</f>
        <v>5051</v>
      </c>
      <c r="AX12" s="43">
        <f>'Ressourcenausgleich Basis'!AX124</f>
        <v>5564</v>
      </c>
      <c r="AY12" s="43">
        <f>'Ressourcenausgleich Basis'!AY124</f>
        <v>6850</v>
      </c>
      <c r="AZ12" s="43">
        <f>'Ressourcenausgleich Basis'!AZ124</f>
        <v>4110</v>
      </c>
      <c r="BA12" s="43">
        <f>'Ressourcenausgleich Basis'!BA124</f>
        <v>28252</v>
      </c>
      <c r="BB12" s="43">
        <f>'Ressourcenausgleich Basis'!BB124</f>
        <v>9996</v>
      </c>
      <c r="BC12" s="43">
        <f>'Ressourcenausgleich Basis'!BC124</f>
        <v>2612</v>
      </c>
      <c r="BD12" s="43">
        <f>'Ressourcenausgleich Basis'!BD124</f>
        <v>3733</v>
      </c>
      <c r="BE12" s="43">
        <f>'Ressourcenausgleich Basis'!BE124</f>
        <v>4979</v>
      </c>
      <c r="BF12" s="43">
        <f>'Ressourcenausgleich Basis'!BF124</f>
        <v>8954</v>
      </c>
      <c r="BG12" s="43">
        <f>'Ressourcenausgleich Basis'!BG124</f>
        <v>1980</v>
      </c>
      <c r="BH12" s="43">
        <f>'Ressourcenausgleich Basis'!BH124</f>
        <v>6324</v>
      </c>
      <c r="BI12" s="43">
        <f>'Ressourcenausgleich Basis'!BI124</f>
        <v>5163</v>
      </c>
      <c r="BJ12" s="43">
        <f>'Ressourcenausgleich Basis'!BJ124</f>
        <v>1619</v>
      </c>
      <c r="BK12" s="43">
        <f>'Ressourcenausgleich Basis'!BK124</f>
        <v>2920</v>
      </c>
      <c r="BL12" s="43">
        <f>'Ressourcenausgleich Basis'!BL124</f>
        <v>9632</v>
      </c>
      <c r="BM12" s="43">
        <f>'Ressourcenausgleich Basis'!BM124</f>
        <v>3961</v>
      </c>
      <c r="BN12" s="43">
        <f>'Ressourcenausgleich Basis'!BN124</f>
        <v>6536</v>
      </c>
      <c r="BO12" s="43">
        <f>'Ressourcenausgleich Basis'!BO124</f>
        <v>13831</v>
      </c>
      <c r="BP12" s="43">
        <f>'Ressourcenausgleich Basis'!BP124</f>
        <v>10446</v>
      </c>
      <c r="BQ12" s="43">
        <f>'Ressourcenausgleich Basis'!BQ124</f>
        <v>4081</v>
      </c>
      <c r="BR12" s="43">
        <f>'Ressourcenausgleich Basis'!BR124</f>
        <v>24541</v>
      </c>
      <c r="BS12" s="43">
        <f>'Ressourcenausgleich Basis'!BS124</f>
        <v>4997</v>
      </c>
      <c r="BT12" s="43">
        <f>'Ressourcenausgleich Basis'!BT124</f>
        <v>4588</v>
      </c>
      <c r="BU12" s="43">
        <f>'Ressourcenausgleich Basis'!BU124</f>
        <v>1527</v>
      </c>
      <c r="BV12" s="43">
        <f>'Ressourcenausgleich Basis'!BV124</f>
        <v>3201</v>
      </c>
      <c r="BW12" s="43">
        <f>'Ressourcenausgleich Basis'!BW124</f>
        <v>18226</v>
      </c>
      <c r="BX12" s="43">
        <f>'Ressourcenausgleich Basis'!BX124</f>
        <v>2115</v>
      </c>
      <c r="BY12" s="43">
        <f>'Ressourcenausgleich Basis'!BY124</f>
        <v>3528</v>
      </c>
      <c r="BZ12" s="43">
        <f>'Ressourcenausgleich Basis'!BZ124</f>
        <v>8523</v>
      </c>
    </row>
    <row r="13" spans="1:80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80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0" s="41" customFormat="1" ht="15.75" x14ac:dyDescent="0.25">
      <c r="A15" s="20" t="s">
        <v>98</v>
      </c>
      <c r="B15" s="20" t="s">
        <v>162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20"/>
      <c r="CB15" s="20"/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s="19" customFormat="1" x14ac:dyDescent="0.2">
      <c r="A17" s="46" t="s">
        <v>128</v>
      </c>
      <c r="B17" s="44" t="s">
        <v>163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4"/>
      <c r="CB17" s="44"/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s="19" customFormat="1" x14ac:dyDescent="0.2">
      <c r="A19"/>
      <c r="B19" t="s">
        <v>160</v>
      </c>
      <c r="C19" s="54">
        <f>SUM(D19:BZ19)</f>
        <v>125333.30899999996</v>
      </c>
      <c r="D19" s="10">
        <v>10105.539000000001</v>
      </c>
      <c r="E19" s="10">
        <v>1310.9578000000001</v>
      </c>
      <c r="F19" s="10">
        <v>701.61</v>
      </c>
      <c r="G19" s="10">
        <v>855.18200000000002</v>
      </c>
      <c r="H19" s="10">
        <v>1002.2524</v>
      </c>
      <c r="I19" s="10">
        <v>1250.5049999999999</v>
      </c>
      <c r="J19" s="10">
        <v>576.49599999999998</v>
      </c>
      <c r="K19" s="10">
        <v>284.22199999999998</v>
      </c>
      <c r="L19" s="10">
        <v>208.47</v>
      </c>
      <c r="M19" s="10">
        <v>519.90660000000003</v>
      </c>
      <c r="N19" s="10">
        <v>874.27099999999996</v>
      </c>
      <c r="O19" s="10">
        <v>1159.6329999999998</v>
      </c>
      <c r="P19" s="10">
        <v>1125.1499999999999</v>
      </c>
      <c r="Q19" s="10">
        <v>1428.972</v>
      </c>
      <c r="R19" s="10">
        <v>572.50699999999995</v>
      </c>
      <c r="S19" s="10">
        <v>1021.4380000000001</v>
      </c>
      <c r="T19" s="10">
        <v>1065.1090000000002</v>
      </c>
      <c r="U19" s="10">
        <v>847.89140000000009</v>
      </c>
      <c r="V19" s="10">
        <v>777.63099999999997</v>
      </c>
      <c r="W19" s="10">
        <v>1169.5409999999999</v>
      </c>
      <c r="X19" s="10">
        <v>1314.0349999999999</v>
      </c>
      <c r="Y19" s="10">
        <v>764.73299999999995</v>
      </c>
      <c r="Z19" s="10">
        <v>687.41000000000008</v>
      </c>
      <c r="AA19" s="10">
        <v>4102.9980000000005</v>
      </c>
      <c r="AB19" s="10">
        <v>602.71699999999998</v>
      </c>
      <c r="AC19" s="10">
        <v>3381.7683999999995</v>
      </c>
      <c r="AD19" s="10">
        <v>883.46500000000003</v>
      </c>
      <c r="AE19" s="10">
        <v>1952.6</v>
      </c>
      <c r="AF19" s="10">
        <v>1311.3610000000001</v>
      </c>
      <c r="AG19" s="10">
        <v>2734.5702000000001</v>
      </c>
      <c r="AH19" s="10">
        <v>1656.8739999999998</v>
      </c>
      <c r="AI19" s="10">
        <v>1476.1650000000002</v>
      </c>
      <c r="AJ19" s="10">
        <v>1564.7703999999999</v>
      </c>
      <c r="AK19" s="10">
        <v>960.20399999999995</v>
      </c>
      <c r="AL19" s="10">
        <v>1439.2709999999997</v>
      </c>
      <c r="AM19" s="10">
        <v>1158.9022</v>
      </c>
      <c r="AN19" s="10">
        <v>1859.6064000000001</v>
      </c>
      <c r="AO19" s="10">
        <v>3091.5502000000006</v>
      </c>
      <c r="AP19" s="10">
        <v>2042.7078000000001</v>
      </c>
      <c r="AQ19" s="10">
        <v>1308.4549999999997</v>
      </c>
      <c r="AR19" s="10">
        <v>968.56000000000006</v>
      </c>
      <c r="AS19" s="10">
        <v>1535.6244000000002</v>
      </c>
      <c r="AT19" s="10">
        <v>300.95800000000003</v>
      </c>
      <c r="AU19" s="10">
        <v>1260.3549999999998</v>
      </c>
      <c r="AV19" s="10">
        <v>952.44100000000014</v>
      </c>
      <c r="AW19" s="10">
        <v>971.24099999999987</v>
      </c>
      <c r="AX19" s="10">
        <v>1371.0185999999999</v>
      </c>
      <c r="AY19" s="10">
        <v>894.44899999999984</v>
      </c>
      <c r="AZ19" s="10">
        <v>541.59799999999996</v>
      </c>
      <c r="BA19" s="10">
        <v>2675.1559999999999</v>
      </c>
      <c r="BB19" s="10">
        <v>3389.8488000000002</v>
      </c>
      <c r="BC19" s="10">
        <v>2069.8066000000003</v>
      </c>
      <c r="BD19" s="10">
        <v>2632.4026000000003</v>
      </c>
      <c r="BE19" s="10">
        <v>2441.4366</v>
      </c>
      <c r="BF19" s="10">
        <v>3280.9652000000006</v>
      </c>
      <c r="BG19" s="10">
        <v>355.90519999999992</v>
      </c>
      <c r="BH19" s="10">
        <v>5083.5573999999997</v>
      </c>
      <c r="BI19" s="10">
        <v>1891.6350000000002</v>
      </c>
      <c r="BJ19" s="10">
        <v>923.50600000000009</v>
      </c>
      <c r="BK19" s="10">
        <v>2293.3045999999995</v>
      </c>
      <c r="BL19" s="10">
        <v>4033.4391999999998</v>
      </c>
      <c r="BM19" s="10">
        <v>1015.0964000000001</v>
      </c>
      <c r="BN19" s="10">
        <v>1281.5336</v>
      </c>
      <c r="BO19" s="10">
        <v>2409.3760000000002</v>
      </c>
      <c r="BP19" s="10">
        <v>2004.0224000000003</v>
      </c>
      <c r="BQ19" s="10">
        <v>1492.3382000000001</v>
      </c>
      <c r="BR19" s="10">
        <v>3296.2381999999998</v>
      </c>
      <c r="BS19" s="10">
        <v>872.81099999999992</v>
      </c>
      <c r="BT19" s="10">
        <v>1699.8745999999996</v>
      </c>
      <c r="BU19" s="10">
        <v>842.7589999999999</v>
      </c>
      <c r="BV19" s="10">
        <v>1286.0159999999996</v>
      </c>
      <c r="BW19" s="10">
        <v>3460.7742000000003</v>
      </c>
      <c r="BX19" s="10">
        <v>654.59580000000005</v>
      </c>
      <c r="BY19" s="10">
        <v>2371.4128000000005</v>
      </c>
      <c r="BZ19" s="10">
        <v>1627.8048000000003</v>
      </c>
      <c r="CB19" t="s">
        <v>179</v>
      </c>
    </row>
    <row r="20" spans="1:80" x14ac:dyDescent="0.2">
      <c r="B20" t="s">
        <v>166</v>
      </c>
      <c r="C20" s="3"/>
      <c r="D20" s="3">
        <f t="shared" ref="D20:AI20" si="0">D19/D12</f>
        <v>0.1313584770768611</v>
      </c>
      <c r="E20" s="3">
        <f t="shared" si="0"/>
        <v>0.13223298365947148</v>
      </c>
      <c r="F20" s="3">
        <f t="shared" si="0"/>
        <v>0.50366834170854269</v>
      </c>
      <c r="G20" s="3">
        <f t="shared" si="0"/>
        <v>0.68250758180367121</v>
      </c>
      <c r="H20" s="3">
        <f t="shared" si="0"/>
        <v>0.27694180712904115</v>
      </c>
      <c r="I20" s="3">
        <f t="shared" si="0"/>
        <v>0.13077860280276091</v>
      </c>
      <c r="J20" s="3">
        <f t="shared" si="0"/>
        <v>0.16089757186715042</v>
      </c>
      <c r="K20" s="3">
        <f t="shared" si="0"/>
        <v>0.28767408906882591</v>
      </c>
      <c r="L20" s="3">
        <f t="shared" si="0"/>
        <v>0.13136105860113423</v>
      </c>
      <c r="M20" s="3">
        <f t="shared" si="0"/>
        <v>0.50673157894736842</v>
      </c>
      <c r="N20" s="3">
        <f t="shared" si="0"/>
        <v>0.36982698815566833</v>
      </c>
      <c r="O20" s="3">
        <f t="shared" si="0"/>
        <v>0.1521828083989501</v>
      </c>
      <c r="P20" s="3">
        <f t="shared" si="0"/>
        <v>0.11508131328628413</v>
      </c>
      <c r="Q20" s="3">
        <f t="shared" si="0"/>
        <v>0.20667804454729535</v>
      </c>
      <c r="R20" s="3">
        <f t="shared" si="0"/>
        <v>0.16446624533180118</v>
      </c>
      <c r="S20" s="3">
        <f t="shared" si="0"/>
        <v>0.16345623299727957</v>
      </c>
      <c r="T20" s="3">
        <f t="shared" si="0"/>
        <v>0.12907283082888998</v>
      </c>
      <c r="U20" s="3">
        <f t="shared" si="0"/>
        <v>0.21395190512238205</v>
      </c>
      <c r="V20" s="3">
        <f t="shared" si="0"/>
        <v>0.15346970594039866</v>
      </c>
      <c r="W20" s="3">
        <f t="shared" si="0"/>
        <v>0.16976934242996081</v>
      </c>
      <c r="X20" s="3">
        <f t="shared" si="0"/>
        <v>0.12910542346236981</v>
      </c>
      <c r="Y20" s="3">
        <f t="shared" si="0"/>
        <v>0.15587708927843455</v>
      </c>
      <c r="Z20" s="3">
        <f t="shared" si="0"/>
        <v>0.32167056621431916</v>
      </c>
      <c r="AA20" s="3">
        <f t="shared" si="0"/>
        <v>0.33417478416680246</v>
      </c>
      <c r="AB20" s="3">
        <f t="shared" si="0"/>
        <v>0.38735025706940873</v>
      </c>
      <c r="AC20" s="3">
        <f t="shared" si="0"/>
        <v>0.36838435729847491</v>
      </c>
      <c r="AD20" s="3">
        <f t="shared" si="0"/>
        <v>0.35738875404530746</v>
      </c>
      <c r="AE20" s="3">
        <f t="shared" si="0"/>
        <v>0.32004589411571871</v>
      </c>
      <c r="AF20" s="3">
        <f t="shared" si="0"/>
        <v>0.36366084303937884</v>
      </c>
      <c r="AG20" s="3">
        <f t="shared" si="0"/>
        <v>0.37449605587510271</v>
      </c>
      <c r="AH20" s="3">
        <f t="shared" si="0"/>
        <v>0.12178419698640204</v>
      </c>
      <c r="AI20" s="3">
        <f t="shared" si="0"/>
        <v>0.27962966470922529</v>
      </c>
      <c r="AJ20" s="3">
        <f t="shared" ref="AJ20:BM20" si="1">AJ19/AJ12</f>
        <v>0.29004085264133456</v>
      </c>
      <c r="AK20" s="3">
        <f t="shared" si="1"/>
        <v>0.14903057581871798</v>
      </c>
      <c r="AL20" s="3">
        <f t="shared" si="1"/>
        <v>0.286993220338983</v>
      </c>
      <c r="AM20" s="3">
        <f t="shared" si="1"/>
        <v>0.17393099204562509</v>
      </c>
      <c r="AN20" s="3">
        <f t="shared" si="1"/>
        <v>1.1897673704414589</v>
      </c>
      <c r="AO20" s="3">
        <f t="shared" si="1"/>
        <v>0.33203202663516279</v>
      </c>
      <c r="AP20" s="3">
        <f t="shared" si="1"/>
        <v>0.39199919401266553</v>
      </c>
      <c r="AQ20" s="3">
        <f t="shared" si="1"/>
        <v>0.22704407426687484</v>
      </c>
      <c r="AR20" s="3">
        <f t="shared" si="1"/>
        <v>0.32285333333333333</v>
      </c>
      <c r="AS20" s="3">
        <f t="shared" si="1"/>
        <v>0.83141548456957237</v>
      </c>
      <c r="AT20" s="3">
        <f t="shared" si="1"/>
        <v>0.16312086720867211</v>
      </c>
      <c r="AU20" s="3">
        <f t="shared" si="1"/>
        <v>0.31344317333996513</v>
      </c>
      <c r="AV20" s="3">
        <f t="shared" si="1"/>
        <v>0.31558681245858189</v>
      </c>
      <c r="AW20" s="3">
        <f t="shared" si="1"/>
        <v>0.19228687388635912</v>
      </c>
      <c r="AX20" s="3">
        <f t="shared" si="1"/>
        <v>0.24640880661394679</v>
      </c>
      <c r="AY20" s="3">
        <f t="shared" si="1"/>
        <v>0.13057649635036495</v>
      </c>
      <c r="AZ20" s="3">
        <f t="shared" si="1"/>
        <v>0.13177566909975669</v>
      </c>
      <c r="BA20" s="3">
        <f t="shared" si="1"/>
        <v>9.4689083958657799E-2</v>
      </c>
      <c r="BB20" s="3">
        <f t="shared" si="1"/>
        <v>0.33912052821128452</v>
      </c>
      <c r="BC20" s="3">
        <f t="shared" si="1"/>
        <v>0.79242212863705985</v>
      </c>
      <c r="BD20" s="3">
        <f t="shared" si="1"/>
        <v>0.7051708009643719</v>
      </c>
      <c r="BE20" s="3">
        <f t="shared" si="1"/>
        <v>0.49034677646113678</v>
      </c>
      <c r="BF20" s="3">
        <f t="shared" si="1"/>
        <v>0.36642452535179815</v>
      </c>
      <c r="BG20" s="3">
        <f t="shared" si="1"/>
        <v>0.17975010101010097</v>
      </c>
      <c r="BH20" s="3">
        <f t="shared" ref="BH20" si="2">BH19/BH12</f>
        <v>0.80385158127767231</v>
      </c>
      <c r="BI20" s="3">
        <f t="shared" si="1"/>
        <v>0.366382916908774</v>
      </c>
      <c r="BJ20" s="3">
        <f t="shared" si="1"/>
        <v>0.57041754169240277</v>
      </c>
      <c r="BK20" s="3">
        <f t="shared" si="1"/>
        <v>0.78537828767123274</v>
      </c>
      <c r="BL20" s="3">
        <f t="shared" si="1"/>
        <v>0.41875406976744184</v>
      </c>
      <c r="BM20" s="3">
        <f t="shared" si="1"/>
        <v>0.25627275940419092</v>
      </c>
      <c r="BN20" s="3">
        <f t="shared" ref="BN20:BZ20" si="3">BN19/BN12</f>
        <v>0.19607307221542228</v>
      </c>
      <c r="BO20" s="3">
        <f t="shared" si="3"/>
        <v>0.17420114236136217</v>
      </c>
      <c r="BP20" s="3">
        <f t="shared" si="3"/>
        <v>0.19184591231093245</v>
      </c>
      <c r="BQ20" s="3">
        <f t="shared" si="3"/>
        <v>0.36567953932859598</v>
      </c>
      <c r="BR20" s="3">
        <f t="shared" si="3"/>
        <v>0.13431556171305162</v>
      </c>
      <c r="BS20" s="3">
        <f t="shared" si="3"/>
        <v>0.17466700020012005</v>
      </c>
      <c r="BT20" s="3">
        <f t="shared" si="3"/>
        <v>0.37050448997384472</v>
      </c>
      <c r="BU20" s="3">
        <f t="shared" si="3"/>
        <v>0.55190504256712503</v>
      </c>
      <c r="BV20" s="3">
        <f t="shared" si="3"/>
        <v>0.40175445173383306</v>
      </c>
      <c r="BW20" s="3">
        <f t="shared" si="3"/>
        <v>0.18988116975748931</v>
      </c>
      <c r="BX20" s="3">
        <f t="shared" si="3"/>
        <v>0.30950156028368797</v>
      </c>
      <c r="BY20" s="3">
        <f t="shared" si="3"/>
        <v>0.67216916099773261</v>
      </c>
      <c r="BZ20" s="3">
        <f t="shared" si="3"/>
        <v>0.19098965153115105</v>
      </c>
    </row>
    <row r="21" spans="1:80" x14ac:dyDescent="0.2">
      <c r="B21" t="s">
        <v>169</v>
      </c>
      <c r="C21" s="10">
        <v>1166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B21" t="s">
        <v>180</v>
      </c>
    </row>
    <row r="22" spans="1:80" x14ac:dyDescent="0.2">
      <c r="B22" t="s">
        <v>170</v>
      </c>
      <c r="C22" s="3"/>
      <c r="D22" s="3">
        <f>D20*$C21</f>
        <v>153.16398427162005</v>
      </c>
      <c r="E22" s="3">
        <f t="shared" ref="E22:BN22" si="4">E20*$C21</f>
        <v>154.18365894694375</v>
      </c>
      <c r="F22" s="3">
        <f t="shared" si="4"/>
        <v>587.27728643216074</v>
      </c>
      <c r="G22" s="3">
        <f t="shared" si="4"/>
        <v>795.80384038308068</v>
      </c>
      <c r="H22" s="3">
        <f t="shared" si="4"/>
        <v>322.91414711246199</v>
      </c>
      <c r="I22" s="3">
        <f t="shared" si="4"/>
        <v>152.48785086801922</v>
      </c>
      <c r="J22" s="3">
        <f t="shared" si="4"/>
        <v>187.6065687970974</v>
      </c>
      <c r="K22" s="3">
        <f t="shared" si="4"/>
        <v>335.427987854251</v>
      </c>
      <c r="L22" s="3">
        <f t="shared" si="4"/>
        <v>153.1669943289225</v>
      </c>
      <c r="M22" s="3">
        <f t="shared" si="4"/>
        <v>590.84902105263154</v>
      </c>
      <c r="N22" s="3">
        <f t="shared" si="4"/>
        <v>431.21826818950927</v>
      </c>
      <c r="O22" s="3">
        <f t="shared" si="4"/>
        <v>177.4451545931758</v>
      </c>
      <c r="P22" s="3">
        <f t="shared" si="4"/>
        <v>134.18481129180728</v>
      </c>
      <c r="Q22" s="3">
        <f t="shared" si="4"/>
        <v>240.98659994214637</v>
      </c>
      <c r="R22" s="3">
        <f t="shared" si="4"/>
        <v>191.76764205688016</v>
      </c>
      <c r="S22" s="3">
        <f t="shared" si="4"/>
        <v>190.58996767482799</v>
      </c>
      <c r="T22" s="3">
        <f t="shared" si="4"/>
        <v>150.49892074648571</v>
      </c>
      <c r="U22" s="3">
        <f t="shared" si="4"/>
        <v>249.46792137269748</v>
      </c>
      <c r="V22" s="3">
        <f t="shared" si="4"/>
        <v>178.94567712650485</v>
      </c>
      <c r="W22" s="3">
        <f t="shared" si="4"/>
        <v>197.95105327333431</v>
      </c>
      <c r="X22" s="3">
        <f t="shared" si="4"/>
        <v>150.53692375712319</v>
      </c>
      <c r="Y22" s="3">
        <f t="shared" si="4"/>
        <v>181.75268609865469</v>
      </c>
      <c r="Z22" s="3">
        <f t="shared" si="4"/>
        <v>375.06788020589613</v>
      </c>
      <c r="AA22" s="3">
        <f t="shared" si="4"/>
        <v>389.64779833849167</v>
      </c>
      <c r="AB22" s="3">
        <f t="shared" si="4"/>
        <v>451.65039974293057</v>
      </c>
      <c r="AC22" s="3">
        <f t="shared" si="4"/>
        <v>429.53616061002174</v>
      </c>
      <c r="AD22" s="3">
        <f t="shared" si="4"/>
        <v>416.71528721682847</v>
      </c>
      <c r="AE22" s="3">
        <f t="shared" si="4"/>
        <v>373.17351253892804</v>
      </c>
      <c r="AF22" s="3">
        <f t="shared" si="4"/>
        <v>424.02854298391571</v>
      </c>
      <c r="AG22" s="3">
        <f t="shared" si="4"/>
        <v>436.66240115036976</v>
      </c>
      <c r="AH22" s="3">
        <f t="shared" si="4"/>
        <v>142.00037368614477</v>
      </c>
      <c r="AI22" s="3">
        <f t="shared" si="4"/>
        <v>326.04818905095669</v>
      </c>
      <c r="AJ22" s="3">
        <f t="shared" si="4"/>
        <v>338.18763417979608</v>
      </c>
      <c r="AK22" s="3">
        <f t="shared" si="4"/>
        <v>173.76965140462517</v>
      </c>
      <c r="AL22" s="3">
        <f t="shared" si="4"/>
        <v>334.6340949152542</v>
      </c>
      <c r="AM22" s="3">
        <f t="shared" si="4"/>
        <v>202.80353672519885</v>
      </c>
      <c r="AN22" s="3">
        <f t="shared" si="4"/>
        <v>1387.268753934741</v>
      </c>
      <c r="AO22" s="3">
        <f t="shared" si="4"/>
        <v>387.14934305659983</v>
      </c>
      <c r="AP22" s="3">
        <f t="shared" si="4"/>
        <v>457.07106021876803</v>
      </c>
      <c r="AQ22" s="3">
        <f t="shared" si="4"/>
        <v>264.73339059517605</v>
      </c>
      <c r="AR22" s="3">
        <f t="shared" si="4"/>
        <v>376.44698666666665</v>
      </c>
      <c r="AS22" s="3">
        <f t="shared" si="4"/>
        <v>969.43045500812138</v>
      </c>
      <c r="AT22" s="3">
        <f t="shared" si="4"/>
        <v>190.19893116531168</v>
      </c>
      <c r="AU22" s="3">
        <f t="shared" si="4"/>
        <v>365.47474011439937</v>
      </c>
      <c r="AV22" s="3">
        <f t="shared" si="4"/>
        <v>367.97422332670646</v>
      </c>
      <c r="AW22" s="3">
        <f t="shared" si="4"/>
        <v>224.20649495149473</v>
      </c>
      <c r="AX22" s="3">
        <f t="shared" si="4"/>
        <v>287.31266851186194</v>
      </c>
      <c r="AY22" s="3">
        <f t="shared" si="4"/>
        <v>152.25219474452553</v>
      </c>
      <c r="AZ22" s="3">
        <f t="shared" si="4"/>
        <v>153.6504301703163</v>
      </c>
      <c r="BA22" s="3">
        <f t="shared" si="4"/>
        <v>110.407471895795</v>
      </c>
      <c r="BB22" s="3">
        <f t="shared" si="4"/>
        <v>395.41453589435775</v>
      </c>
      <c r="BC22" s="3">
        <f t="shared" si="4"/>
        <v>923.96420199081183</v>
      </c>
      <c r="BD22" s="3">
        <f t="shared" si="4"/>
        <v>822.22915392445759</v>
      </c>
      <c r="BE22" s="3">
        <f t="shared" si="4"/>
        <v>571.74434135368551</v>
      </c>
      <c r="BF22" s="3">
        <f t="shared" si="4"/>
        <v>427.25099656019665</v>
      </c>
      <c r="BG22" s="3">
        <f t="shared" si="4"/>
        <v>209.58861777777773</v>
      </c>
      <c r="BH22" s="3">
        <f t="shared" ref="BH22" si="5">BH20*$C21</f>
        <v>937.29094376976593</v>
      </c>
      <c r="BI22" s="3">
        <f t="shared" si="4"/>
        <v>427.20248111563046</v>
      </c>
      <c r="BJ22" s="3">
        <f t="shared" si="4"/>
        <v>665.10685361334163</v>
      </c>
      <c r="BK22" s="3">
        <f t="shared" si="4"/>
        <v>915.75108342465739</v>
      </c>
      <c r="BL22" s="3">
        <f t="shared" si="4"/>
        <v>488.26724534883721</v>
      </c>
      <c r="BM22" s="3">
        <f t="shared" si="4"/>
        <v>298.81403746528662</v>
      </c>
      <c r="BN22" s="3">
        <f t="shared" si="4"/>
        <v>228.62120220318238</v>
      </c>
      <c r="BO22" s="3">
        <f t="shared" ref="BO22:BZ22" si="6">BO20*$C21</f>
        <v>203.11853199334828</v>
      </c>
      <c r="BP22" s="3">
        <f t="shared" si="6"/>
        <v>223.69233375454724</v>
      </c>
      <c r="BQ22" s="3">
        <f t="shared" si="6"/>
        <v>426.38234285714293</v>
      </c>
      <c r="BR22" s="3">
        <f t="shared" si="6"/>
        <v>156.61194495741819</v>
      </c>
      <c r="BS22" s="3">
        <f t="shared" si="6"/>
        <v>203.66172223333999</v>
      </c>
      <c r="BT22" s="3">
        <f t="shared" si="6"/>
        <v>432.00823530950294</v>
      </c>
      <c r="BU22" s="3">
        <f t="shared" si="6"/>
        <v>643.5212796332678</v>
      </c>
      <c r="BV22" s="3">
        <f t="shared" si="6"/>
        <v>468.44569072164933</v>
      </c>
      <c r="BW22" s="3">
        <f t="shared" si="6"/>
        <v>221.40144393723253</v>
      </c>
      <c r="BX22" s="3">
        <f t="shared" si="6"/>
        <v>360.8788192907802</v>
      </c>
      <c r="BY22" s="3">
        <f t="shared" si="6"/>
        <v>783.74924172335625</v>
      </c>
      <c r="BZ22" s="3">
        <f t="shared" si="6"/>
        <v>222.69393368532212</v>
      </c>
    </row>
    <row r="23" spans="1:80" x14ac:dyDescent="0.2">
      <c r="C23" s="3"/>
      <c r="D23" s="3"/>
      <c r="E23" s="4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80" s="19" customFormat="1" x14ac:dyDescent="0.2">
      <c r="B24" s="19" t="s">
        <v>171</v>
      </c>
      <c r="C24" s="13"/>
      <c r="D24" s="13">
        <f t="shared" ref="D24:AI24" si="7">D12*D22</f>
        <v>11783058.474000001</v>
      </c>
      <c r="E24" s="13">
        <f t="shared" si="7"/>
        <v>1528576.7948000003</v>
      </c>
      <c r="F24" s="13">
        <f t="shared" si="7"/>
        <v>818077.25999999989</v>
      </c>
      <c r="G24" s="13">
        <f t="shared" si="7"/>
        <v>997142.21200000006</v>
      </c>
      <c r="H24" s="13">
        <f t="shared" si="7"/>
        <v>1168626.2984</v>
      </c>
      <c r="I24" s="13">
        <f t="shared" si="7"/>
        <v>1458088.8299999998</v>
      </c>
      <c r="J24" s="13">
        <f t="shared" si="7"/>
        <v>672194.33600000001</v>
      </c>
      <c r="K24" s="13">
        <f t="shared" si="7"/>
        <v>331402.85200000001</v>
      </c>
      <c r="L24" s="13">
        <f t="shared" si="7"/>
        <v>243076.02000000002</v>
      </c>
      <c r="M24" s="13">
        <f t="shared" si="7"/>
        <v>606211.0956</v>
      </c>
      <c r="N24" s="13">
        <f t="shared" si="7"/>
        <v>1019399.9859999999</v>
      </c>
      <c r="O24" s="13">
        <f t="shared" si="7"/>
        <v>1352132.0779999995</v>
      </c>
      <c r="P24" s="13">
        <f t="shared" si="7"/>
        <v>1311924.8999999997</v>
      </c>
      <c r="Q24" s="13">
        <f t="shared" si="7"/>
        <v>1666181.352</v>
      </c>
      <c r="R24" s="13">
        <f t="shared" si="7"/>
        <v>667543.16199999989</v>
      </c>
      <c r="S24" s="13">
        <f t="shared" si="7"/>
        <v>1190996.7080000001</v>
      </c>
      <c r="T24" s="13">
        <f t="shared" si="7"/>
        <v>1241917.094</v>
      </c>
      <c r="U24" s="13">
        <f t="shared" si="7"/>
        <v>988641.37240000011</v>
      </c>
      <c r="V24" s="13">
        <f t="shared" si="7"/>
        <v>906717.74600000004</v>
      </c>
      <c r="W24" s="13">
        <f t="shared" si="7"/>
        <v>1363684.8060000001</v>
      </c>
      <c r="X24" s="13">
        <f t="shared" si="7"/>
        <v>1532164.8099999998</v>
      </c>
      <c r="Y24" s="13">
        <f t="shared" si="7"/>
        <v>891678.67799999996</v>
      </c>
      <c r="Z24" s="13">
        <f t="shared" si="7"/>
        <v>801520.06</v>
      </c>
      <c r="AA24" s="13">
        <f t="shared" si="7"/>
        <v>4784095.6680000005</v>
      </c>
      <c r="AB24" s="13">
        <f t="shared" si="7"/>
        <v>702768.022</v>
      </c>
      <c r="AC24" s="13">
        <f t="shared" si="7"/>
        <v>3943141.9543999997</v>
      </c>
      <c r="AD24" s="13">
        <f t="shared" si="7"/>
        <v>1030120.19</v>
      </c>
      <c r="AE24" s="13">
        <f t="shared" si="7"/>
        <v>2276731.6</v>
      </c>
      <c r="AF24" s="13">
        <f t="shared" si="7"/>
        <v>1529046.926</v>
      </c>
      <c r="AG24" s="13">
        <f t="shared" si="7"/>
        <v>3188508.8531999998</v>
      </c>
      <c r="AH24" s="13">
        <f t="shared" si="7"/>
        <v>1931915.0839999996</v>
      </c>
      <c r="AI24" s="13">
        <f t="shared" si="7"/>
        <v>1721208.3900000004</v>
      </c>
      <c r="AJ24" s="13">
        <f t="shared" ref="AJ24:BM24" si="8">AJ12*AJ22</f>
        <v>1824522.2863999999</v>
      </c>
      <c r="AK24" s="13">
        <f t="shared" si="8"/>
        <v>1119597.8639999998</v>
      </c>
      <c r="AL24" s="13">
        <f t="shared" si="8"/>
        <v>1678189.9859999998</v>
      </c>
      <c r="AM24" s="13">
        <f t="shared" si="8"/>
        <v>1351279.9652</v>
      </c>
      <c r="AN24" s="13">
        <f t="shared" si="8"/>
        <v>2168301.0624000002</v>
      </c>
      <c r="AO24" s="13">
        <f t="shared" si="8"/>
        <v>3604747.5332000009</v>
      </c>
      <c r="AP24" s="13">
        <f t="shared" si="8"/>
        <v>2381797.2948000003</v>
      </c>
      <c r="AQ24" s="13">
        <f t="shared" si="8"/>
        <v>1525658.5299999996</v>
      </c>
      <c r="AR24" s="13">
        <f t="shared" si="8"/>
        <v>1129340.96</v>
      </c>
      <c r="AS24" s="13">
        <f t="shared" si="8"/>
        <v>1790538.0504000003</v>
      </c>
      <c r="AT24" s="13">
        <f t="shared" si="8"/>
        <v>350917.02800000005</v>
      </c>
      <c r="AU24" s="13">
        <f t="shared" si="8"/>
        <v>1469573.93</v>
      </c>
      <c r="AV24" s="13">
        <f t="shared" si="8"/>
        <v>1110546.206</v>
      </c>
      <c r="AW24" s="13">
        <f t="shared" si="8"/>
        <v>1132467.0059999998</v>
      </c>
      <c r="AX24" s="13">
        <f t="shared" si="8"/>
        <v>1598607.6875999998</v>
      </c>
      <c r="AY24" s="13">
        <f t="shared" si="8"/>
        <v>1042927.5339999999</v>
      </c>
      <c r="AZ24" s="13">
        <f t="shared" si="8"/>
        <v>631503.26800000004</v>
      </c>
      <c r="BA24" s="13">
        <f t="shared" si="8"/>
        <v>3119231.8960000002</v>
      </c>
      <c r="BB24" s="13">
        <f t="shared" si="8"/>
        <v>3952563.7008000002</v>
      </c>
      <c r="BC24" s="13">
        <f t="shared" si="8"/>
        <v>2413394.4956000005</v>
      </c>
      <c r="BD24" s="13">
        <f t="shared" si="8"/>
        <v>3069381.4316000002</v>
      </c>
      <c r="BE24" s="13">
        <f t="shared" si="8"/>
        <v>2846715.0756000001</v>
      </c>
      <c r="BF24" s="13">
        <f t="shared" si="8"/>
        <v>3825605.423200001</v>
      </c>
      <c r="BG24" s="13">
        <f t="shared" si="8"/>
        <v>414985.46319999988</v>
      </c>
      <c r="BH24" s="13">
        <f t="shared" ref="BH24" si="9">BH12*BH22</f>
        <v>5927427.9283999996</v>
      </c>
      <c r="BI24" s="13">
        <f t="shared" si="8"/>
        <v>2205646.41</v>
      </c>
      <c r="BJ24" s="13">
        <f t="shared" si="8"/>
        <v>1076807.996</v>
      </c>
      <c r="BK24" s="13">
        <f t="shared" si="8"/>
        <v>2673993.1635999996</v>
      </c>
      <c r="BL24" s="13">
        <f t="shared" si="8"/>
        <v>4702990.1072000004</v>
      </c>
      <c r="BM24" s="13">
        <f t="shared" si="8"/>
        <v>1183602.4024000003</v>
      </c>
      <c r="BN24" s="13">
        <f t="shared" ref="BN24:BZ24" si="10">BN12*BN22</f>
        <v>1494268.1776000001</v>
      </c>
      <c r="BO24" s="13">
        <f t="shared" si="10"/>
        <v>2809332.4160000002</v>
      </c>
      <c r="BP24" s="13">
        <f t="shared" si="10"/>
        <v>2336690.1184000005</v>
      </c>
      <c r="BQ24" s="13">
        <f t="shared" si="10"/>
        <v>1740066.3412000004</v>
      </c>
      <c r="BR24" s="13">
        <f t="shared" si="10"/>
        <v>3843413.7411999996</v>
      </c>
      <c r="BS24" s="13">
        <f t="shared" si="10"/>
        <v>1017697.6259999999</v>
      </c>
      <c r="BT24" s="13">
        <f t="shared" si="10"/>
        <v>1982053.7835999995</v>
      </c>
      <c r="BU24" s="13">
        <f t="shared" si="10"/>
        <v>982656.99399999995</v>
      </c>
      <c r="BV24" s="13">
        <f t="shared" si="10"/>
        <v>1499494.6559999995</v>
      </c>
      <c r="BW24" s="13">
        <f t="shared" si="10"/>
        <v>4035262.7171999998</v>
      </c>
      <c r="BX24" s="13">
        <f t="shared" si="10"/>
        <v>763258.70280000009</v>
      </c>
      <c r="BY24" s="13">
        <f t="shared" si="10"/>
        <v>2765067.324800001</v>
      </c>
      <c r="BZ24" s="13">
        <f t="shared" si="10"/>
        <v>1898020.3968000005</v>
      </c>
      <c r="CB24"/>
    </row>
    <row r="25" spans="1:80" x14ac:dyDescent="0.2">
      <c r="C25" s="3"/>
      <c r="D25" s="3"/>
      <c r="E25" s="4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</row>
    <row r="26" spans="1:80" s="19" customFormat="1" x14ac:dyDescent="0.2">
      <c r="A26" s="46" t="s">
        <v>129</v>
      </c>
      <c r="B26" s="44" t="s">
        <v>164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4"/>
      <c r="CB26" s="46"/>
    </row>
    <row r="27" spans="1:80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80" x14ac:dyDescent="0.2">
      <c r="B28" t="s">
        <v>219</v>
      </c>
      <c r="C28" s="43">
        <f>SUM(D28:BZ28)</f>
        <v>21423</v>
      </c>
      <c r="D28" s="36">
        <v>1747</v>
      </c>
      <c r="E28" s="36">
        <v>0</v>
      </c>
      <c r="F28" s="36">
        <v>1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2119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134</v>
      </c>
      <c r="AB28" s="36">
        <v>0</v>
      </c>
      <c r="AC28" s="36">
        <v>4</v>
      </c>
      <c r="AD28" s="36">
        <v>0</v>
      </c>
      <c r="AE28" s="36">
        <v>0</v>
      </c>
      <c r="AF28" s="36">
        <v>58</v>
      </c>
      <c r="AG28" s="36">
        <v>166</v>
      </c>
      <c r="AH28" s="36">
        <v>14</v>
      </c>
      <c r="AI28" s="36">
        <v>71</v>
      </c>
      <c r="AJ28" s="36">
        <v>38</v>
      </c>
      <c r="AK28" s="36">
        <v>0</v>
      </c>
      <c r="AL28" s="36">
        <v>17</v>
      </c>
      <c r="AM28" s="36">
        <v>10</v>
      </c>
      <c r="AN28" s="36">
        <v>1473</v>
      </c>
      <c r="AO28" s="36">
        <v>280</v>
      </c>
      <c r="AP28" s="36">
        <v>666</v>
      </c>
      <c r="AQ28" s="36">
        <v>139</v>
      </c>
      <c r="AR28" s="36">
        <v>130</v>
      </c>
      <c r="AS28" s="36">
        <v>1434</v>
      </c>
      <c r="AT28" s="36">
        <v>14</v>
      </c>
      <c r="AU28" s="36">
        <v>9</v>
      </c>
      <c r="AV28" s="36">
        <v>0</v>
      </c>
      <c r="AW28" s="36">
        <v>23</v>
      </c>
      <c r="AX28" s="36">
        <v>257</v>
      </c>
      <c r="AY28" s="36">
        <v>0</v>
      </c>
      <c r="AZ28" s="36">
        <v>0</v>
      </c>
      <c r="BA28" s="36">
        <v>0</v>
      </c>
      <c r="BB28" s="36">
        <v>754</v>
      </c>
      <c r="BC28" s="36">
        <v>2612</v>
      </c>
      <c r="BD28" s="36">
        <v>1580</v>
      </c>
      <c r="BE28" s="36">
        <v>468</v>
      </c>
      <c r="BF28" s="36">
        <v>719</v>
      </c>
      <c r="BG28" s="36">
        <v>6</v>
      </c>
      <c r="BH28" s="36">
        <v>3023</v>
      </c>
      <c r="BI28" s="36">
        <v>28</v>
      </c>
      <c r="BJ28" s="36">
        <v>64</v>
      </c>
      <c r="BK28" s="36">
        <v>309</v>
      </c>
      <c r="BL28" s="36">
        <v>116</v>
      </c>
      <c r="BM28" s="36">
        <v>0</v>
      </c>
      <c r="BN28" s="36">
        <v>0</v>
      </c>
      <c r="BO28" s="36">
        <v>0</v>
      </c>
      <c r="BP28" s="36">
        <v>0</v>
      </c>
      <c r="BQ28" s="36">
        <v>2805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3</v>
      </c>
      <c r="BY28" s="18">
        <v>109</v>
      </c>
      <c r="BZ28" s="18">
        <v>23</v>
      </c>
      <c r="CB28" t="s">
        <v>179</v>
      </c>
    </row>
    <row r="29" spans="1:80" x14ac:dyDescent="0.2">
      <c r="B29" t="s">
        <v>167</v>
      </c>
      <c r="C29" s="3"/>
      <c r="D29" s="3">
        <f>D28/D12</f>
        <v>2.2708661007916183E-2</v>
      </c>
      <c r="E29" s="3">
        <f t="shared" ref="E29:BN29" si="11">E28/E12</f>
        <v>0</v>
      </c>
      <c r="F29" s="3">
        <f t="shared" si="11"/>
        <v>7.1787508973438624E-4</v>
      </c>
      <c r="G29" s="3">
        <f t="shared" si="11"/>
        <v>0</v>
      </c>
      <c r="H29" s="3">
        <f t="shared" si="11"/>
        <v>0</v>
      </c>
      <c r="I29" s="3">
        <f t="shared" si="11"/>
        <v>0</v>
      </c>
      <c r="J29" s="3">
        <f t="shared" si="11"/>
        <v>0</v>
      </c>
      <c r="K29" s="3">
        <f t="shared" si="11"/>
        <v>0</v>
      </c>
      <c r="L29" s="3">
        <f t="shared" si="11"/>
        <v>0</v>
      </c>
      <c r="M29" s="3">
        <f t="shared" si="11"/>
        <v>0</v>
      </c>
      <c r="N29" s="3">
        <f t="shared" si="11"/>
        <v>0.8963620981387479</v>
      </c>
      <c r="O29" s="3">
        <f t="shared" si="11"/>
        <v>0</v>
      </c>
      <c r="P29" s="3">
        <f t="shared" si="11"/>
        <v>0</v>
      </c>
      <c r="Q29" s="3">
        <f t="shared" si="11"/>
        <v>0</v>
      </c>
      <c r="R29" s="3">
        <f t="shared" si="11"/>
        <v>0</v>
      </c>
      <c r="S29" s="3">
        <f t="shared" si="11"/>
        <v>0</v>
      </c>
      <c r="T29" s="3">
        <f t="shared" si="11"/>
        <v>0</v>
      </c>
      <c r="U29" s="3">
        <f t="shared" si="11"/>
        <v>0</v>
      </c>
      <c r="V29" s="3">
        <f t="shared" si="11"/>
        <v>0</v>
      </c>
      <c r="W29" s="3">
        <f t="shared" si="11"/>
        <v>0</v>
      </c>
      <c r="X29" s="3">
        <f t="shared" si="11"/>
        <v>0</v>
      </c>
      <c r="Y29" s="3">
        <f t="shared" si="11"/>
        <v>0</v>
      </c>
      <c r="Z29" s="3">
        <f t="shared" si="11"/>
        <v>0</v>
      </c>
      <c r="AA29" s="3">
        <f t="shared" si="11"/>
        <v>1.0913829613943639E-2</v>
      </c>
      <c r="AB29" s="3">
        <f t="shared" si="11"/>
        <v>0</v>
      </c>
      <c r="AC29" s="3">
        <f t="shared" si="11"/>
        <v>4.3572984749455336E-4</v>
      </c>
      <c r="AD29" s="3">
        <f t="shared" si="11"/>
        <v>0</v>
      </c>
      <c r="AE29" s="3">
        <f t="shared" si="11"/>
        <v>0</v>
      </c>
      <c r="AF29" s="3">
        <f t="shared" si="11"/>
        <v>1.6084303937881309E-2</v>
      </c>
      <c r="AG29" s="3">
        <f t="shared" si="11"/>
        <v>2.2733497671870721E-2</v>
      </c>
      <c r="AH29" s="3">
        <f t="shared" si="11"/>
        <v>1.0290334435869165E-3</v>
      </c>
      <c r="AI29" s="3">
        <f t="shared" si="11"/>
        <v>1.3449516953968555E-2</v>
      </c>
      <c r="AJ29" s="3">
        <f t="shared" si="11"/>
        <v>7.0435588507877667E-3</v>
      </c>
      <c r="AK29" s="3">
        <f t="shared" si="11"/>
        <v>0</v>
      </c>
      <c r="AL29" s="3">
        <f t="shared" si="11"/>
        <v>3.3898305084745762E-3</v>
      </c>
      <c r="AM29" s="3">
        <f t="shared" si="11"/>
        <v>1.5008254539996999E-3</v>
      </c>
      <c r="AN29" s="3">
        <f t="shared" si="11"/>
        <v>0.94241842610364679</v>
      </c>
      <c r="AO29" s="3">
        <f t="shared" si="11"/>
        <v>3.0071957899258941E-2</v>
      </c>
      <c r="AP29" s="3">
        <f t="shared" si="11"/>
        <v>0.12780656303972365</v>
      </c>
      <c r="AQ29" s="3">
        <f t="shared" si="11"/>
        <v>2.4119382266180808E-2</v>
      </c>
      <c r="AR29" s="3">
        <f t="shared" si="11"/>
        <v>4.3333333333333335E-2</v>
      </c>
      <c r="AS29" s="3">
        <f t="shared" si="11"/>
        <v>0.77639415268002165</v>
      </c>
      <c r="AT29" s="3">
        <f t="shared" si="11"/>
        <v>7.5880758807588076E-3</v>
      </c>
      <c r="AU29" s="3">
        <f t="shared" si="11"/>
        <v>2.2382491917433472E-3</v>
      </c>
      <c r="AV29" s="3">
        <f t="shared" si="11"/>
        <v>0</v>
      </c>
      <c r="AW29" s="3">
        <f t="shared" si="11"/>
        <v>4.5535537517323301E-3</v>
      </c>
      <c r="AX29" s="3">
        <f t="shared" si="11"/>
        <v>4.618979151689432E-2</v>
      </c>
      <c r="AY29" s="3">
        <f t="shared" si="11"/>
        <v>0</v>
      </c>
      <c r="AZ29" s="3">
        <f t="shared" si="11"/>
        <v>0</v>
      </c>
      <c r="BA29" s="3">
        <f t="shared" si="11"/>
        <v>0</v>
      </c>
      <c r="BB29" s="3">
        <f t="shared" si="11"/>
        <v>7.5430172068827531E-2</v>
      </c>
      <c r="BC29" s="3">
        <f t="shared" si="11"/>
        <v>1</v>
      </c>
      <c r="BD29" s="3">
        <f t="shared" si="11"/>
        <v>0.4232520760782213</v>
      </c>
      <c r="BE29" s="3">
        <f t="shared" si="11"/>
        <v>9.3994778067885115E-2</v>
      </c>
      <c r="BF29" s="3">
        <f t="shared" si="11"/>
        <v>8.029930757203485E-2</v>
      </c>
      <c r="BG29" s="3">
        <f t="shared" si="11"/>
        <v>3.0303030303030303E-3</v>
      </c>
      <c r="BH29" s="3">
        <f t="shared" ref="BH29" si="12">BH28/BH12</f>
        <v>0.47802024035420621</v>
      </c>
      <c r="BI29" s="3">
        <f t="shared" si="11"/>
        <v>5.4232035638194847E-3</v>
      </c>
      <c r="BJ29" s="3">
        <f t="shared" si="11"/>
        <v>3.9530574428659669E-2</v>
      </c>
      <c r="BK29" s="3">
        <f t="shared" si="11"/>
        <v>0.10582191780821917</v>
      </c>
      <c r="BL29" s="3">
        <f t="shared" si="11"/>
        <v>1.2043189368770765E-2</v>
      </c>
      <c r="BM29" s="3">
        <f t="shared" si="11"/>
        <v>0</v>
      </c>
      <c r="BN29" s="3">
        <f t="shared" si="11"/>
        <v>0</v>
      </c>
      <c r="BO29" s="3">
        <f t="shared" ref="BO29:BZ29" si="13">BO28/BO12</f>
        <v>0</v>
      </c>
      <c r="BP29" s="3">
        <f t="shared" si="13"/>
        <v>0</v>
      </c>
      <c r="BQ29" s="3">
        <f t="shared" si="13"/>
        <v>0.68733153638814015</v>
      </c>
      <c r="BR29" s="3">
        <f t="shared" si="13"/>
        <v>0</v>
      </c>
      <c r="BS29" s="3">
        <f t="shared" si="13"/>
        <v>0</v>
      </c>
      <c r="BT29" s="3">
        <f t="shared" si="13"/>
        <v>0</v>
      </c>
      <c r="BU29" s="3">
        <f t="shared" si="13"/>
        <v>0</v>
      </c>
      <c r="BV29" s="3">
        <f t="shared" si="13"/>
        <v>0</v>
      </c>
      <c r="BW29" s="3">
        <f t="shared" si="13"/>
        <v>0</v>
      </c>
      <c r="BX29" s="3">
        <f t="shared" si="13"/>
        <v>1.4184397163120568E-3</v>
      </c>
      <c r="BY29" s="3">
        <f t="shared" si="13"/>
        <v>3.0895691609977325E-2</v>
      </c>
      <c r="BZ29" s="3">
        <f t="shared" si="13"/>
        <v>2.6985803120966796E-3</v>
      </c>
    </row>
    <row r="30" spans="1:80" x14ac:dyDescent="0.2">
      <c r="B30" t="s">
        <v>172</v>
      </c>
      <c r="C30" s="10">
        <v>134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B30" t="s">
        <v>180</v>
      </c>
    </row>
    <row r="31" spans="1:80" x14ac:dyDescent="0.2">
      <c r="B31" t="s">
        <v>170</v>
      </c>
      <c r="C31" s="3"/>
      <c r="D31" s="3">
        <f>D29*$C30</f>
        <v>3.0429605750607687</v>
      </c>
      <c r="E31" s="3">
        <f t="shared" ref="E31:BN31" si="14">E29*$C30</f>
        <v>0</v>
      </c>
      <c r="F31" s="3">
        <f t="shared" si="14"/>
        <v>9.6195262024407757E-2</v>
      </c>
      <c r="G31" s="3">
        <f t="shared" si="14"/>
        <v>0</v>
      </c>
      <c r="H31" s="3">
        <f t="shared" si="14"/>
        <v>0</v>
      </c>
      <c r="I31" s="3">
        <f t="shared" si="14"/>
        <v>0</v>
      </c>
      <c r="J31" s="3">
        <f t="shared" si="14"/>
        <v>0</v>
      </c>
      <c r="K31" s="3">
        <f t="shared" si="14"/>
        <v>0</v>
      </c>
      <c r="L31" s="3">
        <f t="shared" si="14"/>
        <v>0</v>
      </c>
      <c r="M31" s="3">
        <f t="shared" si="14"/>
        <v>0</v>
      </c>
      <c r="N31" s="3">
        <f t="shared" si="14"/>
        <v>120.11252115059222</v>
      </c>
      <c r="O31" s="3">
        <f t="shared" si="14"/>
        <v>0</v>
      </c>
      <c r="P31" s="3">
        <f t="shared" si="14"/>
        <v>0</v>
      </c>
      <c r="Q31" s="3">
        <f t="shared" si="14"/>
        <v>0</v>
      </c>
      <c r="R31" s="3">
        <f t="shared" si="14"/>
        <v>0</v>
      </c>
      <c r="S31" s="3">
        <f t="shared" si="14"/>
        <v>0</v>
      </c>
      <c r="T31" s="3">
        <f t="shared" si="14"/>
        <v>0</v>
      </c>
      <c r="U31" s="3">
        <f t="shared" si="14"/>
        <v>0</v>
      </c>
      <c r="V31" s="3">
        <f t="shared" si="14"/>
        <v>0</v>
      </c>
      <c r="W31" s="3">
        <f t="shared" si="14"/>
        <v>0</v>
      </c>
      <c r="X31" s="3">
        <f t="shared" si="14"/>
        <v>0</v>
      </c>
      <c r="Y31" s="3">
        <f t="shared" si="14"/>
        <v>0</v>
      </c>
      <c r="Z31" s="3">
        <f t="shared" si="14"/>
        <v>0</v>
      </c>
      <c r="AA31" s="3">
        <f t="shared" si="14"/>
        <v>1.4624531682684476</v>
      </c>
      <c r="AB31" s="3">
        <f t="shared" si="14"/>
        <v>0</v>
      </c>
      <c r="AC31" s="3">
        <f t="shared" si="14"/>
        <v>5.8387799564270149E-2</v>
      </c>
      <c r="AD31" s="3">
        <f t="shared" si="14"/>
        <v>0</v>
      </c>
      <c r="AE31" s="3">
        <f t="shared" si="14"/>
        <v>0</v>
      </c>
      <c r="AF31" s="3">
        <f t="shared" si="14"/>
        <v>2.1552967276760953</v>
      </c>
      <c r="AG31" s="3">
        <f t="shared" si="14"/>
        <v>3.0462886880306765</v>
      </c>
      <c r="AH31" s="3">
        <f t="shared" si="14"/>
        <v>0.13789048144064681</v>
      </c>
      <c r="AI31" s="3">
        <f t="shared" si="14"/>
        <v>1.8022352718317864</v>
      </c>
      <c r="AJ31" s="3">
        <f t="shared" si="14"/>
        <v>0.9438368860055607</v>
      </c>
      <c r="AK31" s="3">
        <f t="shared" si="14"/>
        <v>0</v>
      </c>
      <c r="AL31" s="3">
        <f t="shared" si="14"/>
        <v>0.45423728813559322</v>
      </c>
      <c r="AM31" s="3">
        <f t="shared" si="14"/>
        <v>0.2011106108359598</v>
      </c>
      <c r="AN31" s="3">
        <f t="shared" si="14"/>
        <v>126.28406909788868</v>
      </c>
      <c r="AO31" s="3">
        <f t="shared" si="14"/>
        <v>4.0296423585006984</v>
      </c>
      <c r="AP31" s="3">
        <f t="shared" si="14"/>
        <v>17.126079447322969</v>
      </c>
      <c r="AQ31" s="3">
        <f t="shared" si="14"/>
        <v>3.2319972236682282</v>
      </c>
      <c r="AR31" s="3">
        <f t="shared" si="14"/>
        <v>5.8066666666666666</v>
      </c>
      <c r="AS31" s="3">
        <f t="shared" si="14"/>
        <v>104.0368164591229</v>
      </c>
      <c r="AT31" s="3">
        <f t="shared" si="14"/>
        <v>1.0168021680216801</v>
      </c>
      <c r="AU31" s="3">
        <f t="shared" si="14"/>
        <v>0.29992539169360855</v>
      </c>
      <c r="AV31" s="3">
        <f t="shared" si="14"/>
        <v>0</v>
      </c>
      <c r="AW31" s="3">
        <f t="shared" si="14"/>
        <v>0.61017620273213224</v>
      </c>
      <c r="AX31" s="3">
        <f t="shared" si="14"/>
        <v>6.1894320632638387</v>
      </c>
      <c r="AY31" s="3">
        <f t="shared" si="14"/>
        <v>0</v>
      </c>
      <c r="AZ31" s="3">
        <f t="shared" si="14"/>
        <v>0</v>
      </c>
      <c r="BA31" s="3">
        <f t="shared" si="14"/>
        <v>0</v>
      </c>
      <c r="BB31" s="3">
        <f t="shared" si="14"/>
        <v>10.107643057222889</v>
      </c>
      <c r="BC31" s="3">
        <f t="shared" si="14"/>
        <v>134</v>
      </c>
      <c r="BD31" s="3">
        <f t="shared" si="14"/>
        <v>56.715778194481651</v>
      </c>
      <c r="BE31" s="3">
        <f t="shared" si="14"/>
        <v>12.595300261096606</v>
      </c>
      <c r="BF31" s="3">
        <f t="shared" si="14"/>
        <v>10.76010721465267</v>
      </c>
      <c r="BG31" s="3">
        <f t="shared" si="14"/>
        <v>0.40606060606060607</v>
      </c>
      <c r="BH31" s="3">
        <f t="shared" ref="BH31" si="15">BH29*$C30</f>
        <v>64.054712207463638</v>
      </c>
      <c r="BI31" s="3">
        <f t="shared" si="14"/>
        <v>0.72670927755181092</v>
      </c>
      <c r="BJ31" s="3">
        <f t="shared" si="14"/>
        <v>5.2970969734403957</v>
      </c>
      <c r="BK31" s="3">
        <f t="shared" si="14"/>
        <v>14.180136986301369</v>
      </c>
      <c r="BL31" s="3">
        <f t="shared" si="14"/>
        <v>1.6137873754152825</v>
      </c>
      <c r="BM31" s="3">
        <f t="shared" si="14"/>
        <v>0</v>
      </c>
      <c r="BN31" s="3">
        <f t="shared" si="14"/>
        <v>0</v>
      </c>
      <c r="BO31" s="3">
        <f t="shared" ref="BO31:BZ31" si="16">BO29*$C30</f>
        <v>0</v>
      </c>
      <c r="BP31" s="3">
        <f t="shared" si="16"/>
        <v>0</v>
      </c>
      <c r="BQ31" s="3">
        <f t="shared" si="16"/>
        <v>92.102425876010784</v>
      </c>
      <c r="BR31" s="3">
        <f t="shared" si="16"/>
        <v>0</v>
      </c>
      <c r="BS31" s="3">
        <f t="shared" si="16"/>
        <v>0</v>
      </c>
      <c r="BT31" s="3">
        <f t="shared" si="16"/>
        <v>0</v>
      </c>
      <c r="BU31" s="3">
        <f t="shared" si="16"/>
        <v>0</v>
      </c>
      <c r="BV31" s="3">
        <f t="shared" si="16"/>
        <v>0</v>
      </c>
      <c r="BW31" s="3">
        <f t="shared" si="16"/>
        <v>0</v>
      </c>
      <c r="BX31" s="3">
        <f t="shared" si="16"/>
        <v>0.19007092198581563</v>
      </c>
      <c r="BY31" s="3">
        <f t="shared" si="16"/>
        <v>4.1400226757369616</v>
      </c>
      <c r="BZ31" s="3">
        <f t="shared" si="16"/>
        <v>0.36160976182095506</v>
      </c>
    </row>
    <row r="32" spans="1:80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80" s="19" customFormat="1" x14ac:dyDescent="0.2">
      <c r="B33" s="19" t="s">
        <v>171</v>
      </c>
      <c r="C33" s="13"/>
      <c r="D33" s="13">
        <f t="shared" ref="D33:AI33" si="17">D31*D12</f>
        <v>234098</v>
      </c>
      <c r="E33" s="13">
        <f t="shared" si="17"/>
        <v>0</v>
      </c>
      <c r="F33" s="13">
        <f t="shared" si="17"/>
        <v>134</v>
      </c>
      <c r="G33" s="13">
        <f t="shared" si="17"/>
        <v>0</v>
      </c>
      <c r="H33" s="13">
        <f t="shared" si="17"/>
        <v>0</v>
      </c>
      <c r="I33" s="13">
        <f t="shared" si="17"/>
        <v>0</v>
      </c>
      <c r="J33" s="13">
        <f t="shared" si="17"/>
        <v>0</v>
      </c>
      <c r="K33" s="13">
        <f t="shared" si="17"/>
        <v>0</v>
      </c>
      <c r="L33" s="13">
        <f t="shared" si="17"/>
        <v>0</v>
      </c>
      <c r="M33" s="13">
        <f t="shared" si="17"/>
        <v>0</v>
      </c>
      <c r="N33" s="13">
        <f t="shared" si="17"/>
        <v>283946</v>
      </c>
      <c r="O33" s="13">
        <f t="shared" si="17"/>
        <v>0</v>
      </c>
      <c r="P33" s="13">
        <f t="shared" si="17"/>
        <v>0</v>
      </c>
      <c r="Q33" s="13">
        <f t="shared" si="17"/>
        <v>0</v>
      </c>
      <c r="R33" s="13">
        <f t="shared" si="17"/>
        <v>0</v>
      </c>
      <c r="S33" s="13">
        <f t="shared" si="17"/>
        <v>0</v>
      </c>
      <c r="T33" s="13">
        <f t="shared" si="17"/>
        <v>0</v>
      </c>
      <c r="U33" s="13">
        <f t="shared" si="17"/>
        <v>0</v>
      </c>
      <c r="V33" s="13">
        <f t="shared" si="17"/>
        <v>0</v>
      </c>
      <c r="W33" s="13">
        <f t="shared" si="17"/>
        <v>0</v>
      </c>
      <c r="X33" s="13">
        <f t="shared" si="17"/>
        <v>0</v>
      </c>
      <c r="Y33" s="13">
        <f t="shared" si="17"/>
        <v>0</v>
      </c>
      <c r="Z33" s="13">
        <f t="shared" si="17"/>
        <v>0</v>
      </c>
      <c r="AA33" s="13">
        <f t="shared" si="17"/>
        <v>17956</v>
      </c>
      <c r="AB33" s="13">
        <f t="shared" si="17"/>
        <v>0</v>
      </c>
      <c r="AC33" s="13">
        <f t="shared" si="17"/>
        <v>536</v>
      </c>
      <c r="AD33" s="13">
        <f t="shared" si="17"/>
        <v>0</v>
      </c>
      <c r="AE33" s="13">
        <f t="shared" si="17"/>
        <v>0</v>
      </c>
      <c r="AF33" s="13">
        <f t="shared" si="17"/>
        <v>7771.9999999999991</v>
      </c>
      <c r="AG33" s="13">
        <f t="shared" si="17"/>
        <v>22244</v>
      </c>
      <c r="AH33" s="13">
        <f t="shared" si="17"/>
        <v>1875.9999999999998</v>
      </c>
      <c r="AI33" s="13">
        <f t="shared" si="17"/>
        <v>9514</v>
      </c>
      <c r="AJ33" s="13">
        <f t="shared" ref="AJ33:BM33" si="18">AJ31*AJ12</f>
        <v>5092</v>
      </c>
      <c r="AK33" s="13">
        <f t="shared" si="18"/>
        <v>0</v>
      </c>
      <c r="AL33" s="13">
        <f t="shared" si="18"/>
        <v>2278</v>
      </c>
      <c r="AM33" s="13">
        <f t="shared" si="18"/>
        <v>1340.0000000000002</v>
      </c>
      <c r="AN33" s="13">
        <f t="shared" si="18"/>
        <v>197382</v>
      </c>
      <c r="AO33" s="13">
        <f t="shared" si="18"/>
        <v>37520</v>
      </c>
      <c r="AP33" s="13">
        <f t="shared" si="18"/>
        <v>89243.999999999985</v>
      </c>
      <c r="AQ33" s="13">
        <f t="shared" si="18"/>
        <v>18626</v>
      </c>
      <c r="AR33" s="13">
        <f t="shared" si="18"/>
        <v>17420</v>
      </c>
      <c r="AS33" s="13">
        <f t="shared" si="18"/>
        <v>192156</v>
      </c>
      <c r="AT33" s="13">
        <f t="shared" si="18"/>
        <v>1875.9999999999998</v>
      </c>
      <c r="AU33" s="13">
        <f t="shared" si="18"/>
        <v>1206</v>
      </c>
      <c r="AV33" s="13">
        <f t="shared" si="18"/>
        <v>0</v>
      </c>
      <c r="AW33" s="13">
        <f t="shared" si="18"/>
        <v>3082</v>
      </c>
      <c r="AX33" s="13">
        <f t="shared" si="18"/>
        <v>34438</v>
      </c>
      <c r="AY33" s="13">
        <f t="shared" si="18"/>
        <v>0</v>
      </c>
      <c r="AZ33" s="13">
        <f t="shared" si="18"/>
        <v>0</v>
      </c>
      <c r="BA33" s="13">
        <f t="shared" si="18"/>
        <v>0</v>
      </c>
      <c r="BB33" s="13">
        <f t="shared" si="18"/>
        <v>101036</v>
      </c>
      <c r="BC33" s="13">
        <f t="shared" si="18"/>
        <v>350008</v>
      </c>
      <c r="BD33" s="13">
        <f t="shared" si="18"/>
        <v>211720</v>
      </c>
      <c r="BE33" s="13">
        <f t="shared" si="18"/>
        <v>62712</v>
      </c>
      <c r="BF33" s="13">
        <f t="shared" si="18"/>
        <v>96346.000000000015</v>
      </c>
      <c r="BG33" s="13">
        <f t="shared" si="18"/>
        <v>804</v>
      </c>
      <c r="BH33" s="13">
        <f t="shared" ref="BH33" si="19">BH31*BH12</f>
        <v>405082.00000000006</v>
      </c>
      <c r="BI33" s="13">
        <f t="shared" si="18"/>
        <v>3751.9999999999995</v>
      </c>
      <c r="BJ33" s="13">
        <f t="shared" si="18"/>
        <v>8576</v>
      </c>
      <c r="BK33" s="13">
        <f t="shared" si="18"/>
        <v>41406</v>
      </c>
      <c r="BL33" s="13">
        <f t="shared" si="18"/>
        <v>15544.000000000002</v>
      </c>
      <c r="BM33" s="13">
        <f t="shared" si="18"/>
        <v>0</v>
      </c>
      <c r="BN33" s="13">
        <f t="shared" ref="BN33:BZ33" si="20">BN31*BN12</f>
        <v>0</v>
      </c>
      <c r="BO33" s="13">
        <f t="shared" si="20"/>
        <v>0</v>
      </c>
      <c r="BP33" s="13">
        <f t="shared" si="20"/>
        <v>0</v>
      </c>
      <c r="BQ33" s="13">
        <f t="shared" si="20"/>
        <v>375870</v>
      </c>
      <c r="BR33" s="13">
        <f t="shared" si="20"/>
        <v>0</v>
      </c>
      <c r="BS33" s="13">
        <f t="shared" si="20"/>
        <v>0</v>
      </c>
      <c r="BT33" s="13">
        <f t="shared" si="20"/>
        <v>0</v>
      </c>
      <c r="BU33" s="13">
        <f t="shared" si="20"/>
        <v>0</v>
      </c>
      <c r="BV33" s="13">
        <f t="shared" si="20"/>
        <v>0</v>
      </c>
      <c r="BW33" s="13">
        <f t="shared" si="20"/>
        <v>0</v>
      </c>
      <c r="BX33" s="13">
        <f t="shared" si="20"/>
        <v>402.00000000000006</v>
      </c>
      <c r="BY33" s="13">
        <f t="shared" si="20"/>
        <v>14606</v>
      </c>
      <c r="BZ33" s="13">
        <f t="shared" si="20"/>
        <v>3082</v>
      </c>
      <c r="CB33"/>
    </row>
    <row r="34" spans="1:80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80" s="19" customFormat="1" x14ac:dyDescent="0.2">
      <c r="A35" s="46" t="s">
        <v>137</v>
      </c>
      <c r="B35" s="44" t="s">
        <v>161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4"/>
      <c r="CB35" s="46"/>
    </row>
    <row r="36" spans="1:80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80" s="19" customFormat="1" x14ac:dyDescent="0.2">
      <c r="A37"/>
      <c r="B37" t="s">
        <v>218</v>
      </c>
      <c r="C37" s="54">
        <f>SUM(D37:BZ37)</f>
        <v>89549.452270218171</v>
      </c>
      <c r="D37" s="10">
        <v>5635.2650616402498</v>
      </c>
      <c r="E37" s="10">
        <v>0</v>
      </c>
      <c r="F37" s="10">
        <v>0</v>
      </c>
      <c r="G37" s="10">
        <v>0</v>
      </c>
      <c r="H37" s="10">
        <v>1416.34568407917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3386.4689986155199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1303.7378212660001</v>
      </c>
      <c r="AC37" s="10">
        <v>4634.3461075320001</v>
      </c>
      <c r="AD37" s="10">
        <v>0</v>
      </c>
      <c r="AE37" s="10">
        <v>6275.2120479225196</v>
      </c>
      <c r="AF37" s="10">
        <v>0</v>
      </c>
      <c r="AG37" s="10">
        <v>0</v>
      </c>
      <c r="AH37" s="10">
        <v>0</v>
      </c>
      <c r="AI37" s="10">
        <v>0</v>
      </c>
      <c r="AJ37" s="10">
        <v>2878.4220690439602</v>
      </c>
      <c r="AK37" s="10">
        <v>0</v>
      </c>
      <c r="AL37" s="10">
        <v>0</v>
      </c>
      <c r="AM37" s="10">
        <v>0</v>
      </c>
      <c r="AN37" s="10">
        <v>10487.3975728199</v>
      </c>
      <c r="AO37" s="10">
        <v>0</v>
      </c>
      <c r="AP37" s="10">
        <v>0</v>
      </c>
      <c r="AQ37" s="10">
        <v>2706.9270353473698</v>
      </c>
      <c r="AR37" s="10">
        <v>3227.3218332896499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4689.7286970305104</v>
      </c>
      <c r="AY37" s="10">
        <v>0</v>
      </c>
      <c r="AZ37" s="10">
        <v>0</v>
      </c>
      <c r="BA37" s="10">
        <v>4402.5640876747202</v>
      </c>
      <c r="BB37" s="10">
        <v>6359.2100874160296</v>
      </c>
      <c r="BC37" s="10">
        <v>3807.5093699245699</v>
      </c>
      <c r="BD37" s="10">
        <v>0</v>
      </c>
      <c r="BE37" s="10">
        <v>0</v>
      </c>
      <c r="BF37" s="10">
        <v>0</v>
      </c>
      <c r="BG37" s="10">
        <v>0</v>
      </c>
      <c r="BH37" s="10">
        <v>9280.8819806444608</v>
      </c>
      <c r="BI37" s="10">
        <v>0</v>
      </c>
      <c r="BJ37" s="10">
        <v>1621.88716564846</v>
      </c>
      <c r="BK37" s="10">
        <v>0</v>
      </c>
      <c r="BL37" s="10">
        <v>4971.8541738863996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4118.8784341744004</v>
      </c>
      <c r="BU37" s="10">
        <v>0</v>
      </c>
      <c r="BV37" s="10">
        <v>2216.7632924444401</v>
      </c>
      <c r="BW37" s="10">
        <v>0</v>
      </c>
      <c r="BX37" s="10">
        <v>0</v>
      </c>
      <c r="BY37" s="10">
        <v>3701.67700938814</v>
      </c>
      <c r="BZ37" s="10">
        <v>2427.0537404297002</v>
      </c>
      <c r="CB37" t="s">
        <v>179</v>
      </c>
    </row>
    <row r="38" spans="1:80" x14ac:dyDescent="0.2">
      <c r="B38" t="s">
        <v>172</v>
      </c>
      <c r="C38" s="55">
        <v>8.0000000000000002E-3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B38" t="s">
        <v>180</v>
      </c>
    </row>
    <row r="39" spans="1:80" x14ac:dyDescent="0.2">
      <c r="B39" t="s">
        <v>170</v>
      </c>
      <c r="C39" s="3"/>
      <c r="D39" s="3">
        <f>D37*$C38</f>
        <v>45.082120493121998</v>
      </c>
      <c r="E39" s="3">
        <f t="shared" ref="E39:BN39" si="21">E37*$C38</f>
        <v>0</v>
      </c>
      <c r="F39" s="3">
        <f t="shared" si="21"/>
        <v>0</v>
      </c>
      <c r="G39" s="3">
        <f t="shared" si="21"/>
        <v>0</v>
      </c>
      <c r="H39" s="3">
        <f t="shared" si="21"/>
        <v>11.330765472633361</v>
      </c>
      <c r="I39" s="3">
        <f t="shared" si="21"/>
        <v>0</v>
      </c>
      <c r="J39" s="3">
        <f t="shared" si="21"/>
        <v>0</v>
      </c>
      <c r="K39" s="3">
        <f t="shared" si="21"/>
        <v>0</v>
      </c>
      <c r="L39" s="3">
        <f t="shared" si="21"/>
        <v>0</v>
      </c>
      <c r="M39" s="3">
        <f t="shared" si="21"/>
        <v>0</v>
      </c>
      <c r="N39" s="3">
        <f t="shared" si="21"/>
        <v>27.091751988924159</v>
      </c>
      <c r="O39" s="3">
        <f t="shared" si="21"/>
        <v>0</v>
      </c>
      <c r="P39" s="3">
        <f t="shared" si="21"/>
        <v>0</v>
      </c>
      <c r="Q39" s="3">
        <f t="shared" si="21"/>
        <v>0</v>
      </c>
      <c r="R39" s="3">
        <f t="shared" si="21"/>
        <v>0</v>
      </c>
      <c r="S39" s="3">
        <f t="shared" si="21"/>
        <v>0</v>
      </c>
      <c r="T39" s="3">
        <f t="shared" si="21"/>
        <v>0</v>
      </c>
      <c r="U39" s="3">
        <f t="shared" si="21"/>
        <v>0</v>
      </c>
      <c r="V39" s="3">
        <f t="shared" si="21"/>
        <v>0</v>
      </c>
      <c r="W39" s="3">
        <f t="shared" si="21"/>
        <v>0</v>
      </c>
      <c r="X39" s="3">
        <f t="shared" si="21"/>
        <v>0</v>
      </c>
      <c r="Y39" s="3">
        <f t="shared" si="21"/>
        <v>0</v>
      </c>
      <c r="Z39" s="3">
        <f t="shared" si="21"/>
        <v>0</v>
      </c>
      <c r="AA39" s="3">
        <f t="shared" si="21"/>
        <v>0</v>
      </c>
      <c r="AB39" s="3">
        <f t="shared" si="21"/>
        <v>10.429902570128</v>
      </c>
      <c r="AC39" s="3">
        <f t="shared" si="21"/>
        <v>37.074768860256</v>
      </c>
      <c r="AD39" s="3">
        <f t="shared" si="21"/>
        <v>0</v>
      </c>
      <c r="AE39" s="3">
        <f t="shared" si="21"/>
        <v>50.20169638338016</v>
      </c>
      <c r="AF39" s="3">
        <f t="shared" si="21"/>
        <v>0</v>
      </c>
      <c r="AG39" s="3">
        <f t="shared" si="21"/>
        <v>0</v>
      </c>
      <c r="AH39" s="3">
        <f t="shared" si="21"/>
        <v>0</v>
      </c>
      <c r="AI39" s="3">
        <f t="shared" si="21"/>
        <v>0</v>
      </c>
      <c r="AJ39" s="3">
        <f t="shared" si="21"/>
        <v>23.027376552351683</v>
      </c>
      <c r="AK39" s="3">
        <f t="shared" si="21"/>
        <v>0</v>
      </c>
      <c r="AL39" s="3">
        <f t="shared" si="21"/>
        <v>0</v>
      </c>
      <c r="AM39" s="3">
        <f t="shared" si="21"/>
        <v>0</v>
      </c>
      <c r="AN39" s="3">
        <f t="shared" si="21"/>
        <v>83.899180582559197</v>
      </c>
      <c r="AO39" s="3">
        <f t="shared" si="21"/>
        <v>0</v>
      </c>
      <c r="AP39" s="3">
        <f t="shared" si="21"/>
        <v>0</v>
      </c>
      <c r="AQ39" s="3">
        <f t="shared" si="21"/>
        <v>21.655416282778958</v>
      </c>
      <c r="AR39" s="3">
        <f t="shared" si="21"/>
        <v>25.8185746663172</v>
      </c>
      <c r="AS39" s="3">
        <f t="shared" si="21"/>
        <v>0</v>
      </c>
      <c r="AT39" s="3">
        <f t="shared" si="21"/>
        <v>0</v>
      </c>
      <c r="AU39" s="3">
        <f t="shared" si="21"/>
        <v>0</v>
      </c>
      <c r="AV39" s="3">
        <f t="shared" si="21"/>
        <v>0</v>
      </c>
      <c r="AW39" s="3">
        <f t="shared" si="21"/>
        <v>0</v>
      </c>
      <c r="AX39" s="3">
        <f t="shared" si="21"/>
        <v>37.517829576244083</v>
      </c>
      <c r="AY39" s="3">
        <f t="shared" si="21"/>
        <v>0</v>
      </c>
      <c r="AZ39" s="3">
        <f t="shared" si="21"/>
        <v>0</v>
      </c>
      <c r="BA39" s="3">
        <f t="shared" si="21"/>
        <v>35.220512701397766</v>
      </c>
      <c r="BB39" s="3">
        <f t="shared" si="21"/>
        <v>50.87368069932824</v>
      </c>
      <c r="BC39" s="3">
        <f t="shared" si="21"/>
        <v>30.460074959396561</v>
      </c>
      <c r="BD39" s="3">
        <f t="shared" si="21"/>
        <v>0</v>
      </c>
      <c r="BE39" s="3">
        <f t="shared" si="21"/>
        <v>0</v>
      </c>
      <c r="BF39" s="3">
        <f t="shared" si="21"/>
        <v>0</v>
      </c>
      <c r="BG39" s="3">
        <f t="shared" si="21"/>
        <v>0</v>
      </c>
      <c r="BH39" s="3">
        <f t="shared" ref="BH39" si="22">BH37*$C38</f>
        <v>74.247055845155685</v>
      </c>
      <c r="BI39" s="3">
        <f t="shared" si="21"/>
        <v>0</v>
      </c>
      <c r="BJ39" s="3">
        <f t="shared" si="21"/>
        <v>12.975097325187681</v>
      </c>
      <c r="BK39" s="3">
        <f t="shared" si="21"/>
        <v>0</v>
      </c>
      <c r="BL39" s="3">
        <f t="shared" si="21"/>
        <v>39.7748333910912</v>
      </c>
      <c r="BM39" s="3">
        <f t="shared" si="21"/>
        <v>0</v>
      </c>
      <c r="BN39" s="3">
        <f t="shared" si="21"/>
        <v>0</v>
      </c>
      <c r="BO39" s="3">
        <f t="shared" ref="BO39:BZ39" si="23">BO37*$C38</f>
        <v>0</v>
      </c>
      <c r="BP39" s="3">
        <f t="shared" si="23"/>
        <v>0</v>
      </c>
      <c r="BQ39" s="3">
        <f t="shared" si="23"/>
        <v>0</v>
      </c>
      <c r="BR39" s="3">
        <f t="shared" si="23"/>
        <v>0</v>
      </c>
      <c r="BS39" s="3">
        <f t="shared" si="23"/>
        <v>0</v>
      </c>
      <c r="BT39" s="3">
        <f t="shared" si="23"/>
        <v>32.9510274733952</v>
      </c>
      <c r="BU39" s="3">
        <f t="shared" si="23"/>
        <v>0</v>
      </c>
      <c r="BV39" s="3">
        <f t="shared" si="23"/>
        <v>17.73410633955552</v>
      </c>
      <c r="BW39" s="3">
        <f t="shared" si="23"/>
        <v>0</v>
      </c>
      <c r="BX39" s="3">
        <f t="shared" si="23"/>
        <v>0</v>
      </c>
      <c r="BY39" s="3">
        <f t="shared" si="23"/>
        <v>29.613416075105121</v>
      </c>
      <c r="BZ39" s="3">
        <f t="shared" si="23"/>
        <v>19.416429923437601</v>
      </c>
    </row>
    <row r="40" spans="1:80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80" s="19" customFormat="1" x14ac:dyDescent="0.2">
      <c r="B41" s="19" t="s">
        <v>171</v>
      </c>
      <c r="C41" s="13"/>
      <c r="D41" s="13">
        <f t="shared" ref="D41:AI41" si="24">D39*D12</f>
        <v>3468212.6116563682</v>
      </c>
      <c r="E41" s="13">
        <f t="shared" si="24"/>
        <v>0</v>
      </c>
      <c r="F41" s="13">
        <f t="shared" si="24"/>
        <v>0</v>
      </c>
      <c r="G41" s="13">
        <f t="shared" si="24"/>
        <v>0</v>
      </c>
      <c r="H41" s="13">
        <f t="shared" si="24"/>
        <v>41006.040245460135</v>
      </c>
      <c r="I41" s="13">
        <f t="shared" si="24"/>
        <v>0</v>
      </c>
      <c r="J41" s="13">
        <f t="shared" si="24"/>
        <v>0</v>
      </c>
      <c r="K41" s="13">
        <f t="shared" si="24"/>
        <v>0</v>
      </c>
      <c r="L41" s="13">
        <f t="shared" si="24"/>
        <v>0</v>
      </c>
      <c r="M41" s="13">
        <f t="shared" si="24"/>
        <v>0</v>
      </c>
      <c r="N41" s="13">
        <f t="shared" si="24"/>
        <v>64044.901701816714</v>
      </c>
      <c r="O41" s="13">
        <f t="shared" si="24"/>
        <v>0</v>
      </c>
      <c r="P41" s="13">
        <f t="shared" si="24"/>
        <v>0</v>
      </c>
      <c r="Q41" s="13">
        <f t="shared" si="24"/>
        <v>0</v>
      </c>
      <c r="R41" s="13">
        <f t="shared" si="24"/>
        <v>0</v>
      </c>
      <c r="S41" s="13">
        <f t="shared" si="24"/>
        <v>0</v>
      </c>
      <c r="T41" s="13">
        <f t="shared" si="24"/>
        <v>0</v>
      </c>
      <c r="U41" s="13">
        <f t="shared" si="24"/>
        <v>0</v>
      </c>
      <c r="V41" s="13">
        <f t="shared" si="24"/>
        <v>0</v>
      </c>
      <c r="W41" s="13">
        <f t="shared" si="24"/>
        <v>0</v>
      </c>
      <c r="X41" s="13">
        <f t="shared" si="24"/>
        <v>0</v>
      </c>
      <c r="Y41" s="13">
        <f t="shared" si="24"/>
        <v>0</v>
      </c>
      <c r="Z41" s="13">
        <f t="shared" si="24"/>
        <v>0</v>
      </c>
      <c r="AA41" s="13">
        <f t="shared" si="24"/>
        <v>0</v>
      </c>
      <c r="AB41" s="13">
        <f t="shared" si="24"/>
        <v>16228.928399119168</v>
      </c>
      <c r="AC41" s="13">
        <f t="shared" si="24"/>
        <v>340346.37813715008</v>
      </c>
      <c r="AD41" s="13">
        <f t="shared" si="24"/>
        <v>0</v>
      </c>
      <c r="AE41" s="13">
        <f t="shared" si="24"/>
        <v>306280.54963500233</v>
      </c>
      <c r="AF41" s="13">
        <f t="shared" si="24"/>
        <v>0</v>
      </c>
      <c r="AG41" s="13">
        <f t="shared" si="24"/>
        <v>0</v>
      </c>
      <c r="AH41" s="13">
        <f t="shared" si="24"/>
        <v>0</v>
      </c>
      <c r="AI41" s="13">
        <f t="shared" si="24"/>
        <v>0</v>
      </c>
      <c r="AJ41" s="13">
        <f t="shared" ref="AJ41:BM41" si="25">AJ39*AJ12</f>
        <v>124232.69649993733</v>
      </c>
      <c r="AK41" s="13">
        <f t="shared" si="25"/>
        <v>0</v>
      </c>
      <c r="AL41" s="13">
        <f t="shared" si="25"/>
        <v>0</v>
      </c>
      <c r="AM41" s="13">
        <f t="shared" si="25"/>
        <v>0</v>
      </c>
      <c r="AN41" s="13">
        <f t="shared" si="25"/>
        <v>131134.41925054003</v>
      </c>
      <c r="AO41" s="13">
        <f t="shared" si="25"/>
        <v>0</v>
      </c>
      <c r="AP41" s="13">
        <f t="shared" si="25"/>
        <v>0</v>
      </c>
      <c r="AQ41" s="13">
        <f t="shared" si="25"/>
        <v>124800.16403765514</v>
      </c>
      <c r="AR41" s="13">
        <f t="shared" si="25"/>
        <v>77455.723998951595</v>
      </c>
      <c r="AS41" s="13">
        <f t="shared" si="25"/>
        <v>0</v>
      </c>
      <c r="AT41" s="13">
        <f t="shared" si="25"/>
        <v>0</v>
      </c>
      <c r="AU41" s="13">
        <f t="shared" si="25"/>
        <v>0</v>
      </c>
      <c r="AV41" s="13">
        <f t="shared" si="25"/>
        <v>0</v>
      </c>
      <c r="AW41" s="13">
        <f t="shared" si="25"/>
        <v>0</v>
      </c>
      <c r="AX41" s="13">
        <f t="shared" si="25"/>
        <v>208749.20376222208</v>
      </c>
      <c r="AY41" s="13">
        <f t="shared" si="25"/>
        <v>0</v>
      </c>
      <c r="AZ41" s="13">
        <f t="shared" si="25"/>
        <v>0</v>
      </c>
      <c r="BA41" s="13">
        <f t="shared" si="25"/>
        <v>995049.92483988963</v>
      </c>
      <c r="BB41" s="13">
        <f t="shared" si="25"/>
        <v>508533.3122704851</v>
      </c>
      <c r="BC41" s="13">
        <f t="shared" si="25"/>
        <v>79561.715793943818</v>
      </c>
      <c r="BD41" s="13">
        <f t="shared" si="25"/>
        <v>0</v>
      </c>
      <c r="BE41" s="13">
        <f t="shared" si="25"/>
        <v>0</v>
      </c>
      <c r="BF41" s="13">
        <f t="shared" si="25"/>
        <v>0</v>
      </c>
      <c r="BG41" s="13">
        <f t="shared" si="25"/>
        <v>0</v>
      </c>
      <c r="BH41" s="13">
        <f t="shared" ref="BH41" si="26">BH39*BH12</f>
        <v>469538.38116476458</v>
      </c>
      <c r="BI41" s="13">
        <f t="shared" si="25"/>
        <v>0</v>
      </c>
      <c r="BJ41" s="13">
        <f t="shared" si="25"/>
        <v>21006.682569478857</v>
      </c>
      <c r="BK41" s="13">
        <f t="shared" si="25"/>
        <v>0</v>
      </c>
      <c r="BL41" s="13">
        <f t="shared" si="25"/>
        <v>383111.19522299041</v>
      </c>
      <c r="BM41" s="13">
        <f t="shared" si="25"/>
        <v>0</v>
      </c>
      <c r="BN41" s="13">
        <f t="shared" ref="BN41:BZ41" si="27">BN39*BN12</f>
        <v>0</v>
      </c>
      <c r="BO41" s="13">
        <f t="shared" si="27"/>
        <v>0</v>
      </c>
      <c r="BP41" s="13">
        <f t="shared" si="27"/>
        <v>0</v>
      </c>
      <c r="BQ41" s="13">
        <f t="shared" si="27"/>
        <v>0</v>
      </c>
      <c r="BR41" s="13">
        <f t="shared" si="27"/>
        <v>0</v>
      </c>
      <c r="BS41" s="13">
        <f t="shared" si="27"/>
        <v>0</v>
      </c>
      <c r="BT41" s="13">
        <f t="shared" si="27"/>
        <v>151179.31404793717</v>
      </c>
      <c r="BU41" s="13">
        <f t="shared" si="27"/>
        <v>0</v>
      </c>
      <c r="BV41" s="13">
        <f t="shared" si="27"/>
        <v>56766.87439291722</v>
      </c>
      <c r="BW41" s="13">
        <f t="shared" si="27"/>
        <v>0</v>
      </c>
      <c r="BX41" s="13">
        <f t="shared" si="27"/>
        <v>0</v>
      </c>
      <c r="BY41" s="13">
        <f t="shared" si="27"/>
        <v>104476.13191297087</v>
      </c>
      <c r="BZ41" s="13">
        <f t="shared" si="27"/>
        <v>165486.23223745867</v>
      </c>
      <c r="CB41"/>
    </row>
    <row r="42" spans="1:80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80" s="19" customFormat="1" x14ac:dyDescent="0.2">
      <c r="A43" s="46" t="s">
        <v>143</v>
      </c>
      <c r="B43" s="44" t="s">
        <v>165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4"/>
      <c r="CB43" s="46"/>
    </row>
    <row r="44" spans="1:80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80" s="19" customFormat="1" x14ac:dyDescent="0.2">
      <c r="A45"/>
      <c r="B45" t="s">
        <v>217</v>
      </c>
      <c r="C45" s="54">
        <f>SUM(D45:BZ45)</f>
        <v>198379.10652</v>
      </c>
      <c r="D45" s="10">
        <v>3937.9027499999997</v>
      </c>
      <c r="E45" s="10">
        <v>1219.88624</v>
      </c>
      <c r="F45" s="10">
        <v>907.13576000000012</v>
      </c>
      <c r="G45" s="10">
        <v>1032.60483</v>
      </c>
      <c r="H45" s="10">
        <v>983.80481999999995</v>
      </c>
      <c r="I45" s="10">
        <v>493.55439999999999</v>
      </c>
      <c r="J45" s="10">
        <v>475.64582000000001</v>
      </c>
      <c r="K45" s="10">
        <v>375.54810000000003</v>
      </c>
      <c r="L45" s="10">
        <v>198.92533</v>
      </c>
      <c r="M45" s="10">
        <v>713.53101000000004</v>
      </c>
      <c r="N45" s="10">
        <v>890.26861000000008</v>
      </c>
      <c r="O45" s="10">
        <v>739.52706000000001</v>
      </c>
      <c r="P45" s="10">
        <v>230.66873999999999</v>
      </c>
      <c r="Q45" s="10">
        <v>1061.3524600000001</v>
      </c>
      <c r="R45" s="10">
        <v>220.49409999999997</v>
      </c>
      <c r="S45" s="10">
        <v>686.86050999999998</v>
      </c>
      <c r="T45" s="10">
        <v>465.38316000000003</v>
      </c>
      <c r="U45" s="10">
        <v>562.10793999999999</v>
      </c>
      <c r="V45" s="10">
        <v>652.02472999999998</v>
      </c>
      <c r="W45" s="10">
        <v>1124.5537000000002</v>
      </c>
      <c r="X45" s="10">
        <v>421.82522</v>
      </c>
      <c r="Y45" s="10">
        <v>439.35968000000003</v>
      </c>
      <c r="Z45" s="10">
        <v>438.05007000000001</v>
      </c>
      <c r="AA45" s="10">
        <v>3946.2256600000005</v>
      </c>
      <c r="AB45" s="10">
        <v>543.72095000000002</v>
      </c>
      <c r="AC45" s="10">
        <v>3460.21389</v>
      </c>
      <c r="AD45" s="10">
        <v>933.35056000000009</v>
      </c>
      <c r="AE45" s="10">
        <v>4156.4202999999998</v>
      </c>
      <c r="AF45" s="10">
        <v>2227.3426199999999</v>
      </c>
      <c r="AG45" s="10">
        <v>5464.7331100000001</v>
      </c>
      <c r="AH45" s="10">
        <v>1595.008</v>
      </c>
      <c r="AI45" s="10">
        <v>3032.67929</v>
      </c>
      <c r="AJ45" s="10">
        <v>4175.16255</v>
      </c>
      <c r="AK45" s="10">
        <v>946.38909000000012</v>
      </c>
      <c r="AL45" s="10">
        <v>3271.67515</v>
      </c>
      <c r="AM45" s="10">
        <v>2539.5592700000002</v>
      </c>
      <c r="AN45" s="10">
        <v>12846.14048</v>
      </c>
      <c r="AO45" s="10">
        <v>13910.560019999999</v>
      </c>
      <c r="AP45" s="10">
        <v>7515.4821499999998</v>
      </c>
      <c r="AQ45" s="10">
        <v>4884.1079399999999</v>
      </c>
      <c r="AR45" s="10">
        <v>7321.0383699999993</v>
      </c>
      <c r="AS45" s="10">
        <v>4761.82258</v>
      </c>
      <c r="AT45" s="10">
        <v>574.88235000000009</v>
      </c>
      <c r="AU45" s="10">
        <v>3990.4293099999995</v>
      </c>
      <c r="AV45" s="10">
        <v>1649.5494600000002</v>
      </c>
      <c r="AW45" s="10">
        <v>1864.1369099999999</v>
      </c>
      <c r="AX45" s="10">
        <v>3358.5925400000001</v>
      </c>
      <c r="AY45" s="10">
        <v>753.53891999999996</v>
      </c>
      <c r="AZ45" s="10">
        <v>597.65724999999998</v>
      </c>
      <c r="BA45" s="10">
        <v>3136.8576499999999</v>
      </c>
      <c r="BB45" s="10">
        <v>5489.1676099999995</v>
      </c>
      <c r="BC45" s="10">
        <v>8752.8400199999996</v>
      </c>
      <c r="BD45" s="10">
        <v>9270.1651499999989</v>
      </c>
      <c r="BE45" s="10">
        <v>4354.5887000000002</v>
      </c>
      <c r="BF45" s="10">
        <v>5117.5464700000002</v>
      </c>
      <c r="BG45" s="10">
        <v>282.00812999999999</v>
      </c>
      <c r="BH45" s="10">
        <v>8184.0326800000003</v>
      </c>
      <c r="BI45" s="10">
        <v>2183.3847299999998</v>
      </c>
      <c r="BJ45" s="10">
        <v>1409.60427</v>
      </c>
      <c r="BK45" s="10">
        <v>5051.0874700000004</v>
      </c>
      <c r="BL45" s="10">
        <v>4253.9729100000004</v>
      </c>
      <c r="BM45" s="10">
        <v>1099.4986000000001</v>
      </c>
      <c r="BN45" s="10">
        <v>1407.60193</v>
      </c>
      <c r="BO45" s="10">
        <v>1449.5028100000002</v>
      </c>
      <c r="BP45" s="10">
        <v>1146.90094</v>
      </c>
      <c r="BQ45" s="10">
        <v>1447.74316</v>
      </c>
      <c r="BR45" s="10">
        <v>2081.6392000000001</v>
      </c>
      <c r="BS45" s="10">
        <v>896.7339300000001</v>
      </c>
      <c r="BT45" s="10">
        <v>1773.1269399999999</v>
      </c>
      <c r="BU45" s="10">
        <v>1583.6607000000001</v>
      </c>
      <c r="BV45" s="10">
        <v>1637.1691599999999</v>
      </c>
      <c r="BW45" s="10">
        <v>2750.6227699999999</v>
      </c>
      <c r="BX45" s="10">
        <v>630.62275</v>
      </c>
      <c r="BY45" s="10">
        <v>3134.3092099999999</v>
      </c>
      <c r="BZ45" s="10">
        <v>1263.28487</v>
      </c>
      <c r="CB45" t="s">
        <v>179</v>
      </c>
    </row>
    <row r="46" spans="1:80" x14ac:dyDescent="0.2">
      <c r="B46" t="s">
        <v>168</v>
      </c>
      <c r="C46" s="3"/>
      <c r="D46" s="3">
        <f>D45/D12</f>
        <v>5.1187463441265547E-2</v>
      </c>
      <c r="E46" s="3">
        <f t="shared" ref="E46:BN46" si="28">E45/E12</f>
        <v>0.12304682670970346</v>
      </c>
      <c r="F46" s="3">
        <f t="shared" si="28"/>
        <v>0.65121016511127072</v>
      </c>
      <c r="G46" s="3">
        <f t="shared" si="28"/>
        <v>0.82410600957701519</v>
      </c>
      <c r="H46" s="3">
        <f t="shared" si="28"/>
        <v>0.27184438242608455</v>
      </c>
      <c r="I46" s="3">
        <f t="shared" si="28"/>
        <v>5.1616230914034722E-2</v>
      </c>
      <c r="J46" s="3">
        <f t="shared" si="28"/>
        <v>0.13275071727602569</v>
      </c>
      <c r="K46" s="3">
        <f t="shared" si="28"/>
        <v>0.38010941295546563</v>
      </c>
      <c r="L46" s="3">
        <f t="shared" si="28"/>
        <v>0.12534677378701953</v>
      </c>
      <c r="M46" s="3">
        <f t="shared" si="28"/>
        <v>0.69544932748538013</v>
      </c>
      <c r="N46" s="3">
        <f t="shared" si="28"/>
        <v>0.37659416666666667</v>
      </c>
      <c r="O46" s="3">
        <f t="shared" si="28"/>
        <v>9.7050795275590546E-2</v>
      </c>
      <c r="P46" s="3">
        <f t="shared" si="28"/>
        <v>2.3592997852101869E-2</v>
      </c>
      <c r="Q46" s="3">
        <f t="shared" si="28"/>
        <v>0.15350773213769164</v>
      </c>
      <c r="R46" s="3">
        <f t="shared" si="28"/>
        <v>6.3342171789715587E-2</v>
      </c>
      <c r="S46" s="3">
        <f t="shared" si="28"/>
        <v>0.10991526804288686</v>
      </c>
      <c r="T46" s="3">
        <f t="shared" si="28"/>
        <v>5.6396408143480375E-2</v>
      </c>
      <c r="U46" s="3">
        <f t="shared" si="28"/>
        <v>0.14183899571032046</v>
      </c>
      <c r="V46" s="3">
        <f t="shared" si="28"/>
        <v>0.12868062561673574</v>
      </c>
      <c r="W46" s="3">
        <f t="shared" si="28"/>
        <v>0.16323903324139935</v>
      </c>
      <c r="X46" s="3">
        <f t="shared" si="28"/>
        <v>4.1444804480251521E-2</v>
      </c>
      <c r="Y46" s="3">
        <f t="shared" si="28"/>
        <v>8.9555580921320835E-2</v>
      </c>
      <c r="Z46" s="3">
        <f t="shared" si="28"/>
        <v>0.20498365465605989</v>
      </c>
      <c r="AA46" s="3">
        <f t="shared" si="28"/>
        <v>0.32140622739859914</v>
      </c>
      <c r="AB46" s="3">
        <f t="shared" si="28"/>
        <v>0.34943505784061696</v>
      </c>
      <c r="AC46" s="3">
        <f t="shared" si="28"/>
        <v>0.37692961764705885</v>
      </c>
      <c r="AD46" s="3">
        <f t="shared" si="28"/>
        <v>0.37756899676375411</v>
      </c>
      <c r="AE46" s="3">
        <f t="shared" si="28"/>
        <v>0.68126869365677756</v>
      </c>
      <c r="AF46" s="3">
        <f t="shared" si="28"/>
        <v>0.61767682196339435</v>
      </c>
      <c r="AG46" s="3">
        <f t="shared" si="28"/>
        <v>0.74838853875650513</v>
      </c>
      <c r="AH46" s="3">
        <f t="shared" si="28"/>
        <v>0.11723689819919147</v>
      </c>
      <c r="AI46" s="3">
        <f t="shared" si="28"/>
        <v>0.57447988065921574</v>
      </c>
      <c r="AJ46" s="3">
        <f t="shared" si="28"/>
        <v>0.77389481927710846</v>
      </c>
      <c r="AK46" s="3">
        <f t="shared" si="28"/>
        <v>0.14688640229706659</v>
      </c>
      <c r="AL46" s="3">
        <f t="shared" si="28"/>
        <v>0.6523778963110668</v>
      </c>
      <c r="AM46" s="3">
        <f t="shared" si="28"/>
        <v>0.38114351943568964</v>
      </c>
      <c r="AN46" s="3">
        <f t="shared" si="28"/>
        <v>8.2188998592450417</v>
      </c>
      <c r="AO46" s="3">
        <f t="shared" si="28"/>
        <v>1.4939920545591234</v>
      </c>
      <c r="AP46" s="3">
        <f t="shared" si="28"/>
        <v>1.4422341489157551</v>
      </c>
      <c r="AQ46" s="3">
        <f t="shared" si="28"/>
        <v>0.8474940031233732</v>
      </c>
      <c r="AR46" s="3">
        <f t="shared" si="28"/>
        <v>2.4403461233333332</v>
      </c>
      <c r="AS46" s="3">
        <f t="shared" si="28"/>
        <v>2.5781389171629669</v>
      </c>
      <c r="AT46" s="3">
        <f t="shared" si="28"/>
        <v>0.31158934959349599</v>
      </c>
      <c r="AU46" s="3">
        <f t="shared" si="28"/>
        <v>0.99239724197960699</v>
      </c>
      <c r="AV46" s="3">
        <f t="shared" si="28"/>
        <v>0.54657039761431414</v>
      </c>
      <c r="AW46" s="3">
        <f t="shared" si="28"/>
        <v>0.36906294001187884</v>
      </c>
      <c r="AX46" s="3">
        <f t="shared" si="28"/>
        <v>0.6036291409058232</v>
      </c>
      <c r="AY46" s="3">
        <f t="shared" si="28"/>
        <v>0.11000568175182482</v>
      </c>
      <c r="AZ46" s="3">
        <f t="shared" si="28"/>
        <v>0.1454153892944039</v>
      </c>
      <c r="BA46" s="3">
        <f t="shared" si="28"/>
        <v>0.11103134822313464</v>
      </c>
      <c r="BB46" s="3">
        <f t="shared" si="28"/>
        <v>0.54913641556622639</v>
      </c>
      <c r="BC46" s="3">
        <f t="shared" si="28"/>
        <v>3.3510107274119449</v>
      </c>
      <c r="BD46" s="3">
        <f t="shared" si="28"/>
        <v>2.4833016742566296</v>
      </c>
      <c r="BE46" s="3">
        <f t="shared" si="28"/>
        <v>0.87459102229363328</v>
      </c>
      <c r="BF46" s="3">
        <f t="shared" si="28"/>
        <v>0.57153746593701138</v>
      </c>
      <c r="BG46" s="3">
        <f t="shared" si="28"/>
        <v>0.14242834848484848</v>
      </c>
      <c r="BH46" s="3">
        <f t="shared" ref="BH46" si="29">BH45/BH12</f>
        <v>1.2941228146742569</v>
      </c>
      <c r="BI46" s="3">
        <f t="shared" si="28"/>
        <v>0.4228907088901801</v>
      </c>
      <c r="BJ46" s="3">
        <f t="shared" si="28"/>
        <v>0.87066353922174189</v>
      </c>
      <c r="BK46" s="3">
        <f t="shared" si="28"/>
        <v>1.7298244760273973</v>
      </c>
      <c r="BL46" s="3">
        <f t="shared" si="28"/>
        <v>0.44165001142026583</v>
      </c>
      <c r="BM46" s="3">
        <f t="shared" si="28"/>
        <v>0.27758106538752841</v>
      </c>
      <c r="BN46" s="3">
        <f t="shared" si="28"/>
        <v>0.21536137239902081</v>
      </c>
      <c r="BO46" s="3">
        <f t="shared" ref="BO46:BZ46" si="30">BO45/BO12</f>
        <v>0.10480101294194202</v>
      </c>
      <c r="BP46" s="3">
        <f t="shared" si="30"/>
        <v>0.10979331227264025</v>
      </c>
      <c r="BQ46" s="3">
        <f t="shared" si="30"/>
        <v>0.35475206076941923</v>
      </c>
      <c r="BR46" s="3">
        <f t="shared" si="30"/>
        <v>8.4822916751558619E-2</v>
      </c>
      <c r="BS46" s="3">
        <f t="shared" si="30"/>
        <v>0.17945445867520515</v>
      </c>
      <c r="BT46" s="3">
        <f t="shared" si="30"/>
        <v>0.38647056233653004</v>
      </c>
      <c r="BU46" s="3">
        <f t="shared" si="30"/>
        <v>1.0371058939096267</v>
      </c>
      <c r="BV46" s="3">
        <f t="shared" si="30"/>
        <v>0.51145553264604804</v>
      </c>
      <c r="BW46" s="3">
        <f t="shared" si="30"/>
        <v>0.15091752276966969</v>
      </c>
      <c r="BX46" s="3">
        <f t="shared" si="30"/>
        <v>0.29816678486997633</v>
      </c>
      <c r="BY46" s="3">
        <f t="shared" si="30"/>
        <v>0.88840964002267575</v>
      </c>
      <c r="BZ46" s="3">
        <f t="shared" si="30"/>
        <v>0.14822068168485275</v>
      </c>
    </row>
    <row r="47" spans="1:80" x14ac:dyDescent="0.2">
      <c r="B47" t="s">
        <v>173</v>
      </c>
      <c r="C47" s="10">
        <v>29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B47" t="s">
        <v>180</v>
      </c>
    </row>
    <row r="48" spans="1:80" x14ac:dyDescent="0.2">
      <c r="B48" t="s">
        <v>170</v>
      </c>
      <c r="C48" s="3"/>
      <c r="D48" s="3">
        <f>D46*$C47</f>
        <v>1.4844364397967009</v>
      </c>
      <c r="E48" s="3">
        <f t="shared" ref="E48:BN48" si="31">E46*$C47</f>
        <v>3.5683579745814002</v>
      </c>
      <c r="F48" s="3">
        <f t="shared" si="31"/>
        <v>18.885094788226851</v>
      </c>
      <c r="G48" s="3">
        <f t="shared" si="31"/>
        <v>23.89907427773344</v>
      </c>
      <c r="H48" s="3">
        <f t="shared" si="31"/>
        <v>7.8834870903564518</v>
      </c>
      <c r="I48" s="3">
        <f t="shared" si="31"/>
        <v>1.4968706965070069</v>
      </c>
      <c r="J48" s="3">
        <f t="shared" si="31"/>
        <v>3.8497708010047451</v>
      </c>
      <c r="K48" s="3">
        <f t="shared" si="31"/>
        <v>11.023172975708503</v>
      </c>
      <c r="L48" s="3">
        <f t="shared" si="31"/>
        <v>3.6350564398235665</v>
      </c>
      <c r="M48" s="3">
        <f t="shared" si="31"/>
        <v>20.168030497076025</v>
      </c>
      <c r="N48" s="3">
        <f t="shared" si="31"/>
        <v>10.921230833333334</v>
      </c>
      <c r="O48" s="3">
        <f t="shared" si="31"/>
        <v>2.8144730629921257</v>
      </c>
      <c r="P48" s="3">
        <f t="shared" si="31"/>
        <v>0.68419693771095424</v>
      </c>
      <c r="Q48" s="3">
        <f t="shared" si="31"/>
        <v>4.4517242319930581</v>
      </c>
      <c r="R48" s="3">
        <f t="shared" si="31"/>
        <v>1.8369229819017521</v>
      </c>
      <c r="S48" s="3">
        <f t="shared" si="31"/>
        <v>3.1875427732437189</v>
      </c>
      <c r="T48" s="3">
        <f t="shared" si="31"/>
        <v>1.6354958361609309</v>
      </c>
      <c r="U48" s="3">
        <f t="shared" si="31"/>
        <v>4.1133308755992939</v>
      </c>
      <c r="V48" s="3">
        <f t="shared" si="31"/>
        <v>3.7317381428853365</v>
      </c>
      <c r="W48" s="3">
        <f t="shared" si="31"/>
        <v>4.7339319640005808</v>
      </c>
      <c r="X48" s="3">
        <f t="shared" si="31"/>
        <v>1.2018993299272942</v>
      </c>
      <c r="Y48" s="3">
        <f t="shared" si="31"/>
        <v>2.5971118467183043</v>
      </c>
      <c r="Z48" s="3">
        <f t="shared" si="31"/>
        <v>5.944525985025737</v>
      </c>
      <c r="AA48" s="3">
        <f t="shared" si="31"/>
        <v>9.3207805945593751</v>
      </c>
      <c r="AB48" s="3">
        <f t="shared" si="31"/>
        <v>10.133616677377892</v>
      </c>
      <c r="AC48" s="3">
        <f t="shared" si="31"/>
        <v>10.930958911764707</v>
      </c>
      <c r="AD48" s="3">
        <f t="shared" si="31"/>
        <v>10.949500906148868</v>
      </c>
      <c r="AE48" s="3">
        <f t="shared" si="31"/>
        <v>19.756792116046547</v>
      </c>
      <c r="AF48" s="3">
        <f t="shared" si="31"/>
        <v>17.912627836938437</v>
      </c>
      <c r="AG48" s="3">
        <f t="shared" si="31"/>
        <v>21.70326762393865</v>
      </c>
      <c r="AH48" s="3">
        <f t="shared" si="31"/>
        <v>3.3998700477765529</v>
      </c>
      <c r="AI48" s="3">
        <f t="shared" si="31"/>
        <v>16.659916539117255</v>
      </c>
      <c r="AJ48" s="3">
        <f t="shared" si="31"/>
        <v>22.442949759036146</v>
      </c>
      <c r="AK48" s="3">
        <f t="shared" si="31"/>
        <v>4.2597056666149316</v>
      </c>
      <c r="AL48" s="3">
        <f t="shared" si="31"/>
        <v>18.918958993020937</v>
      </c>
      <c r="AM48" s="3">
        <f t="shared" si="31"/>
        <v>11.053162063635</v>
      </c>
      <c r="AN48" s="3">
        <f t="shared" si="31"/>
        <v>238.3480959181062</v>
      </c>
      <c r="AO48" s="3">
        <f t="shared" si="31"/>
        <v>43.325769582214576</v>
      </c>
      <c r="AP48" s="3">
        <f t="shared" si="31"/>
        <v>41.8247903185569</v>
      </c>
      <c r="AQ48" s="3">
        <f t="shared" si="31"/>
        <v>24.577326090577824</v>
      </c>
      <c r="AR48" s="3">
        <f t="shared" si="31"/>
        <v>70.770037576666667</v>
      </c>
      <c r="AS48" s="3">
        <f t="shared" si="31"/>
        <v>74.766028597726034</v>
      </c>
      <c r="AT48" s="3">
        <f t="shared" si="31"/>
        <v>9.0360911382113844</v>
      </c>
      <c r="AU48" s="3">
        <f t="shared" si="31"/>
        <v>28.779520017408604</v>
      </c>
      <c r="AV48" s="3">
        <f t="shared" si="31"/>
        <v>15.850541530815111</v>
      </c>
      <c r="AW48" s="3">
        <f t="shared" si="31"/>
        <v>10.702825260344486</v>
      </c>
      <c r="AX48" s="3">
        <f t="shared" si="31"/>
        <v>17.505245086268872</v>
      </c>
      <c r="AY48" s="3">
        <f t="shared" si="31"/>
        <v>3.1901647708029199</v>
      </c>
      <c r="AZ48" s="3">
        <f t="shared" si="31"/>
        <v>4.2170462895377128</v>
      </c>
      <c r="BA48" s="3">
        <f t="shared" si="31"/>
        <v>3.2199090984709047</v>
      </c>
      <c r="BB48" s="3">
        <f t="shared" si="31"/>
        <v>15.924956051420565</v>
      </c>
      <c r="BC48" s="3">
        <f t="shared" si="31"/>
        <v>97.179311094946399</v>
      </c>
      <c r="BD48" s="3">
        <f t="shared" si="31"/>
        <v>72.015748553442265</v>
      </c>
      <c r="BE48" s="3">
        <f t="shared" si="31"/>
        <v>25.363139646515364</v>
      </c>
      <c r="BF48" s="3">
        <f t="shared" si="31"/>
        <v>16.57458651217333</v>
      </c>
      <c r="BG48" s="3">
        <f t="shared" si="31"/>
        <v>4.1304221060606059</v>
      </c>
      <c r="BH48" s="3">
        <f t="shared" ref="BH48" si="32">BH46*$C47</f>
        <v>37.529561625553448</v>
      </c>
      <c r="BI48" s="3">
        <f t="shared" si="31"/>
        <v>12.263830557815222</v>
      </c>
      <c r="BJ48" s="3">
        <f t="shared" si="31"/>
        <v>25.249242637430516</v>
      </c>
      <c r="BK48" s="3">
        <f t="shared" si="31"/>
        <v>50.164909804794519</v>
      </c>
      <c r="BL48" s="3">
        <f t="shared" si="31"/>
        <v>12.807850331187709</v>
      </c>
      <c r="BM48" s="3">
        <f t="shared" si="31"/>
        <v>8.0498508962383237</v>
      </c>
      <c r="BN48" s="3">
        <f t="shared" si="31"/>
        <v>6.2454797995716032</v>
      </c>
      <c r="BO48" s="3">
        <f t="shared" ref="BO48:BZ48" si="33">BO46*$C47</f>
        <v>3.0392293753163186</v>
      </c>
      <c r="BP48" s="3">
        <f t="shared" si="33"/>
        <v>3.184006055906567</v>
      </c>
      <c r="BQ48" s="3">
        <f t="shared" si="33"/>
        <v>10.287809762313158</v>
      </c>
      <c r="BR48" s="3">
        <f t="shared" si="33"/>
        <v>2.4598645857952</v>
      </c>
      <c r="BS48" s="3">
        <f t="shared" si="33"/>
        <v>5.2041793015809494</v>
      </c>
      <c r="BT48" s="3">
        <f t="shared" si="33"/>
        <v>11.20764630775937</v>
      </c>
      <c r="BU48" s="3">
        <f t="shared" si="33"/>
        <v>30.076070923379174</v>
      </c>
      <c r="BV48" s="3">
        <f t="shared" si="33"/>
        <v>14.832210446735393</v>
      </c>
      <c r="BW48" s="3">
        <f t="shared" si="33"/>
        <v>4.376608160320421</v>
      </c>
      <c r="BX48" s="3">
        <f t="shared" si="33"/>
        <v>8.6468367612293129</v>
      </c>
      <c r="BY48" s="3">
        <f t="shared" si="33"/>
        <v>25.763879560657596</v>
      </c>
      <c r="BZ48" s="3">
        <f t="shared" si="33"/>
        <v>4.2983997688607296</v>
      </c>
    </row>
    <row r="49" spans="1:80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s="19" customFormat="1" x14ac:dyDescent="0.2">
      <c r="B50" s="19" t="s">
        <v>171</v>
      </c>
      <c r="C50" s="13"/>
      <c r="D50" s="13">
        <f t="shared" ref="D50:AI50" si="34">D48*D12</f>
        <v>114199.17975</v>
      </c>
      <c r="E50" s="13">
        <f t="shared" si="34"/>
        <v>35376.700960000002</v>
      </c>
      <c r="F50" s="13">
        <f t="shared" si="34"/>
        <v>26306.937040000004</v>
      </c>
      <c r="G50" s="13">
        <f t="shared" si="34"/>
        <v>29945.540069999999</v>
      </c>
      <c r="H50" s="13">
        <f t="shared" si="34"/>
        <v>28530.339779999998</v>
      </c>
      <c r="I50" s="13">
        <f t="shared" si="34"/>
        <v>14313.077600000001</v>
      </c>
      <c r="J50" s="13">
        <f t="shared" si="34"/>
        <v>13793.728780000001</v>
      </c>
      <c r="K50" s="13">
        <f t="shared" si="34"/>
        <v>10890.894900000001</v>
      </c>
      <c r="L50" s="13">
        <f t="shared" si="34"/>
        <v>5768.83457</v>
      </c>
      <c r="M50" s="13">
        <f t="shared" si="34"/>
        <v>20692.399290000001</v>
      </c>
      <c r="N50" s="13">
        <f t="shared" si="34"/>
        <v>25817.789690000001</v>
      </c>
      <c r="O50" s="13">
        <f t="shared" si="34"/>
        <v>21446.284739999999</v>
      </c>
      <c r="P50" s="13">
        <f t="shared" si="34"/>
        <v>6689.3934599999993</v>
      </c>
      <c r="Q50" s="13">
        <f t="shared" si="34"/>
        <v>30779.221340000004</v>
      </c>
      <c r="R50" s="13">
        <f t="shared" si="34"/>
        <v>6394.3288999999986</v>
      </c>
      <c r="S50" s="13">
        <f t="shared" si="34"/>
        <v>19918.95479</v>
      </c>
      <c r="T50" s="13">
        <f t="shared" si="34"/>
        <v>13496.111640000001</v>
      </c>
      <c r="U50" s="13">
        <f t="shared" si="34"/>
        <v>16301.130260000002</v>
      </c>
      <c r="V50" s="13">
        <f t="shared" si="34"/>
        <v>18908.71717</v>
      </c>
      <c r="W50" s="13">
        <f t="shared" si="34"/>
        <v>32612.0573</v>
      </c>
      <c r="X50" s="13">
        <f t="shared" si="34"/>
        <v>12232.93138</v>
      </c>
      <c r="Y50" s="13">
        <f t="shared" si="34"/>
        <v>12741.43072</v>
      </c>
      <c r="Z50" s="13">
        <f t="shared" si="34"/>
        <v>12703.45203</v>
      </c>
      <c r="AA50" s="13">
        <f t="shared" si="34"/>
        <v>114440.54414000001</v>
      </c>
      <c r="AB50" s="13">
        <f t="shared" si="34"/>
        <v>15767.90755</v>
      </c>
      <c r="AC50" s="13">
        <f t="shared" si="34"/>
        <v>100346.20281</v>
      </c>
      <c r="AD50" s="13">
        <f t="shared" si="34"/>
        <v>27067.166240000002</v>
      </c>
      <c r="AE50" s="13">
        <f t="shared" si="34"/>
        <v>120536.18869999998</v>
      </c>
      <c r="AF50" s="13">
        <f t="shared" si="34"/>
        <v>64592.935980000002</v>
      </c>
      <c r="AG50" s="13">
        <f t="shared" si="34"/>
        <v>158477.26019000003</v>
      </c>
      <c r="AH50" s="13">
        <f t="shared" si="34"/>
        <v>46255.232000000004</v>
      </c>
      <c r="AI50" s="13">
        <f t="shared" si="34"/>
        <v>87947.699409999987</v>
      </c>
      <c r="AJ50" s="13">
        <f t="shared" ref="AJ50:BM50" si="35">AJ48*AJ12</f>
        <v>121079.71395</v>
      </c>
      <c r="AK50" s="13">
        <f t="shared" si="35"/>
        <v>27445.283610000002</v>
      </c>
      <c r="AL50" s="13">
        <f t="shared" si="35"/>
        <v>94878.57935</v>
      </c>
      <c r="AM50" s="13">
        <f t="shared" si="35"/>
        <v>73647.218829999998</v>
      </c>
      <c r="AN50" s="13">
        <f t="shared" si="35"/>
        <v>372538.07392</v>
      </c>
      <c r="AO50" s="13">
        <f t="shared" si="35"/>
        <v>403406.24057999993</v>
      </c>
      <c r="AP50" s="13">
        <f t="shared" si="35"/>
        <v>217948.98235000001</v>
      </c>
      <c r="AQ50" s="13">
        <f t="shared" si="35"/>
        <v>141639.13026000001</v>
      </c>
      <c r="AR50" s="13">
        <f t="shared" si="35"/>
        <v>212310.11272999999</v>
      </c>
      <c r="AS50" s="13">
        <f t="shared" si="35"/>
        <v>138092.85481999998</v>
      </c>
      <c r="AT50" s="13">
        <f t="shared" si="35"/>
        <v>16671.588150000003</v>
      </c>
      <c r="AU50" s="13">
        <f t="shared" si="35"/>
        <v>115722.44998999999</v>
      </c>
      <c r="AV50" s="13">
        <f t="shared" si="35"/>
        <v>47836.934340000007</v>
      </c>
      <c r="AW50" s="13">
        <f t="shared" si="35"/>
        <v>54059.970390000002</v>
      </c>
      <c r="AX50" s="13">
        <f t="shared" si="35"/>
        <v>97399.183659999995</v>
      </c>
      <c r="AY50" s="13">
        <f t="shared" si="35"/>
        <v>21852.628680000002</v>
      </c>
      <c r="AZ50" s="13">
        <f t="shared" si="35"/>
        <v>17332.060249999999</v>
      </c>
      <c r="BA50" s="13">
        <f t="shared" si="35"/>
        <v>90968.871849999996</v>
      </c>
      <c r="BB50" s="13">
        <f t="shared" si="35"/>
        <v>159185.86068999997</v>
      </c>
      <c r="BC50" s="13">
        <f t="shared" si="35"/>
        <v>253832.36058000001</v>
      </c>
      <c r="BD50" s="13">
        <f t="shared" si="35"/>
        <v>268834.78934999998</v>
      </c>
      <c r="BE50" s="13">
        <f t="shared" si="35"/>
        <v>126283.0723</v>
      </c>
      <c r="BF50" s="13">
        <f t="shared" si="35"/>
        <v>148408.84763</v>
      </c>
      <c r="BG50" s="13">
        <f t="shared" si="35"/>
        <v>8178.2357699999993</v>
      </c>
      <c r="BH50" s="13">
        <f t="shared" ref="BH50" si="36">BH48*BH12</f>
        <v>237336.94772</v>
      </c>
      <c r="BI50" s="13">
        <f t="shared" si="35"/>
        <v>63318.157169999991</v>
      </c>
      <c r="BJ50" s="13">
        <f t="shared" si="35"/>
        <v>40878.523830000006</v>
      </c>
      <c r="BK50" s="13">
        <f t="shared" si="35"/>
        <v>146481.53662999999</v>
      </c>
      <c r="BL50" s="13">
        <f t="shared" si="35"/>
        <v>123365.21439000001</v>
      </c>
      <c r="BM50" s="13">
        <f t="shared" si="35"/>
        <v>31885.4594</v>
      </c>
      <c r="BN50" s="13">
        <f t="shared" ref="BN50:BZ50" si="37">BN48*BN12</f>
        <v>40820.455969999995</v>
      </c>
      <c r="BO50" s="13">
        <f t="shared" si="37"/>
        <v>42035.581490000004</v>
      </c>
      <c r="BP50" s="13">
        <f t="shared" si="37"/>
        <v>33260.127260000001</v>
      </c>
      <c r="BQ50" s="13">
        <f t="shared" si="37"/>
        <v>41984.551639999998</v>
      </c>
      <c r="BR50" s="13">
        <f t="shared" si="37"/>
        <v>60367.536800000002</v>
      </c>
      <c r="BS50" s="13">
        <f t="shared" si="37"/>
        <v>26005.283970000004</v>
      </c>
      <c r="BT50" s="13">
        <f t="shared" si="37"/>
        <v>51420.68125999999</v>
      </c>
      <c r="BU50" s="13">
        <f t="shared" si="37"/>
        <v>45926.160299999996</v>
      </c>
      <c r="BV50" s="13">
        <f t="shared" si="37"/>
        <v>47477.905639999997</v>
      </c>
      <c r="BW50" s="13">
        <f t="shared" si="37"/>
        <v>79768.060329999993</v>
      </c>
      <c r="BX50" s="13">
        <f t="shared" si="37"/>
        <v>18288.059749999997</v>
      </c>
      <c r="BY50" s="13">
        <f t="shared" si="37"/>
        <v>90894.967090000006</v>
      </c>
      <c r="BZ50" s="13">
        <f t="shared" si="37"/>
        <v>36635.261229999996</v>
      </c>
      <c r="CB50"/>
    </row>
    <row r="51" spans="1:80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80" s="19" customFormat="1" x14ac:dyDescent="0.2">
      <c r="A52" s="46" t="s">
        <v>154</v>
      </c>
      <c r="B52" s="44" t="s">
        <v>175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4"/>
      <c r="CB52" s="46"/>
    </row>
    <row r="53" spans="1:80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80" x14ac:dyDescent="0.2">
      <c r="B54" t="s">
        <v>176</v>
      </c>
      <c r="C54" s="10">
        <v>320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B54" t="s">
        <v>180</v>
      </c>
    </row>
    <row r="55" spans="1:80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80" s="19" customFormat="1" x14ac:dyDescent="0.2">
      <c r="B56" s="19" t="s">
        <v>177</v>
      </c>
      <c r="C56" s="13"/>
      <c r="D56" s="13">
        <f t="shared" ref="D56:AI56" si="38">D12*$C54*-1</f>
        <v>-24617920</v>
      </c>
      <c r="E56" s="13">
        <f t="shared" si="38"/>
        <v>-3172480</v>
      </c>
      <c r="F56" s="13">
        <f t="shared" si="38"/>
        <v>-445760</v>
      </c>
      <c r="G56" s="13">
        <f t="shared" si="38"/>
        <v>-400960</v>
      </c>
      <c r="H56" s="13">
        <f t="shared" si="38"/>
        <v>-1158080</v>
      </c>
      <c r="I56" s="13">
        <f t="shared" si="38"/>
        <v>-3059840</v>
      </c>
      <c r="J56" s="13">
        <f t="shared" si="38"/>
        <v>-1146560</v>
      </c>
      <c r="K56" s="13">
        <f t="shared" si="38"/>
        <v>-316160</v>
      </c>
      <c r="L56" s="13">
        <f t="shared" si="38"/>
        <v>-507840</v>
      </c>
      <c r="M56" s="13">
        <f t="shared" si="38"/>
        <v>-328320</v>
      </c>
      <c r="N56" s="13">
        <f t="shared" si="38"/>
        <v>-756480</v>
      </c>
      <c r="O56" s="13">
        <f t="shared" si="38"/>
        <v>-2438400</v>
      </c>
      <c r="P56" s="13">
        <f t="shared" si="38"/>
        <v>-3128640</v>
      </c>
      <c r="Q56" s="13">
        <f t="shared" si="38"/>
        <v>-2212480</v>
      </c>
      <c r="R56" s="13">
        <f t="shared" si="38"/>
        <v>-1113920</v>
      </c>
      <c r="S56" s="13">
        <f t="shared" si="38"/>
        <v>-1999680</v>
      </c>
      <c r="T56" s="13">
        <f t="shared" si="38"/>
        <v>-2640640</v>
      </c>
      <c r="U56" s="13">
        <f t="shared" si="38"/>
        <v>-1268160</v>
      </c>
      <c r="V56" s="13">
        <f t="shared" si="38"/>
        <v>-1621440</v>
      </c>
      <c r="W56" s="13">
        <f t="shared" si="38"/>
        <v>-2204480</v>
      </c>
      <c r="X56" s="13">
        <f t="shared" si="38"/>
        <v>-3256960</v>
      </c>
      <c r="Y56" s="13">
        <f t="shared" si="38"/>
        <v>-1569920</v>
      </c>
      <c r="Z56" s="13">
        <f t="shared" si="38"/>
        <v>-683840</v>
      </c>
      <c r="AA56" s="13">
        <f t="shared" si="38"/>
        <v>-3928960</v>
      </c>
      <c r="AB56" s="13">
        <f t="shared" si="38"/>
        <v>-497920</v>
      </c>
      <c r="AC56" s="13">
        <f t="shared" si="38"/>
        <v>-2937600</v>
      </c>
      <c r="AD56" s="13">
        <f t="shared" si="38"/>
        <v>-791040</v>
      </c>
      <c r="AE56" s="13">
        <f t="shared" si="38"/>
        <v>-1952320</v>
      </c>
      <c r="AF56" s="13">
        <f t="shared" si="38"/>
        <v>-1153920</v>
      </c>
      <c r="AG56" s="13">
        <f t="shared" si="38"/>
        <v>-2336640</v>
      </c>
      <c r="AH56" s="13">
        <f t="shared" si="38"/>
        <v>-4353600</v>
      </c>
      <c r="AI56" s="13">
        <f t="shared" si="38"/>
        <v>-1689280</v>
      </c>
      <c r="AJ56" s="13">
        <f t="shared" ref="AJ56:BM56" si="39">AJ12*$C54*-1</f>
        <v>-1726400</v>
      </c>
      <c r="AK56" s="13">
        <f t="shared" si="39"/>
        <v>-2061760</v>
      </c>
      <c r="AL56" s="13">
        <f t="shared" si="39"/>
        <v>-1604800</v>
      </c>
      <c r="AM56" s="13">
        <f t="shared" si="39"/>
        <v>-2132160</v>
      </c>
      <c r="AN56" s="13">
        <f t="shared" si="39"/>
        <v>-500160</v>
      </c>
      <c r="AO56" s="13">
        <f t="shared" si="39"/>
        <v>-2979520</v>
      </c>
      <c r="AP56" s="13">
        <f t="shared" si="39"/>
        <v>-1667520</v>
      </c>
      <c r="AQ56" s="13">
        <f t="shared" si="39"/>
        <v>-1844160</v>
      </c>
      <c r="AR56" s="13">
        <f t="shared" si="39"/>
        <v>-960000</v>
      </c>
      <c r="AS56" s="13">
        <f t="shared" si="39"/>
        <v>-591040</v>
      </c>
      <c r="AT56" s="13">
        <f t="shared" si="39"/>
        <v>-590400</v>
      </c>
      <c r="AU56" s="13">
        <f t="shared" si="39"/>
        <v>-1286720</v>
      </c>
      <c r="AV56" s="13">
        <f t="shared" si="39"/>
        <v>-965760</v>
      </c>
      <c r="AW56" s="13">
        <f t="shared" si="39"/>
        <v>-1616320</v>
      </c>
      <c r="AX56" s="13">
        <f t="shared" si="39"/>
        <v>-1780480</v>
      </c>
      <c r="AY56" s="13">
        <f t="shared" si="39"/>
        <v>-2192000</v>
      </c>
      <c r="AZ56" s="13">
        <f t="shared" si="39"/>
        <v>-1315200</v>
      </c>
      <c r="BA56" s="13">
        <f t="shared" si="39"/>
        <v>-9040640</v>
      </c>
      <c r="BB56" s="13">
        <f t="shared" si="39"/>
        <v>-3198720</v>
      </c>
      <c r="BC56" s="13">
        <f t="shared" si="39"/>
        <v>-835840</v>
      </c>
      <c r="BD56" s="13">
        <f t="shared" si="39"/>
        <v>-1194560</v>
      </c>
      <c r="BE56" s="13">
        <f t="shared" si="39"/>
        <v>-1593280</v>
      </c>
      <c r="BF56" s="13">
        <f t="shared" si="39"/>
        <v>-2865280</v>
      </c>
      <c r="BG56" s="13">
        <f t="shared" si="39"/>
        <v>-633600</v>
      </c>
      <c r="BH56" s="13">
        <f t="shared" si="39"/>
        <v>-2023680</v>
      </c>
      <c r="BI56" s="13">
        <f t="shared" si="39"/>
        <v>-1652160</v>
      </c>
      <c r="BJ56" s="13">
        <f t="shared" si="39"/>
        <v>-518080</v>
      </c>
      <c r="BK56" s="13">
        <f t="shared" si="39"/>
        <v>-934400</v>
      </c>
      <c r="BL56" s="13">
        <f t="shared" si="39"/>
        <v>-3082240</v>
      </c>
      <c r="BM56" s="13">
        <f t="shared" si="39"/>
        <v>-1267520</v>
      </c>
      <c r="BN56" s="13">
        <f t="shared" ref="BN56:BZ56" si="40">BN12*$C54*-1</f>
        <v>-2091520</v>
      </c>
      <c r="BO56" s="13">
        <f t="shared" si="40"/>
        <v>-4425920</v>
      </c>
      <c r="BP56" s="13">
        <f t="shared" si="40"/>
        <v>-3342720</v>
      </c>
      <c r="BQ56" s="13">
        <f t="shared" si="40"/>
        <v>-1305920</v>
      </c>
      <c r="BR56" s="13">
        <f t="shared" si="40"/>
        <v>-7853120</v>
      </c>
      <c r="BS56" s="13">
        <f t="shared" si="40"/>
        <v>-1599040</v>
      </c>
      <c r="BT56" s="13">
        <f t="shared" si="40"/>
        <v>-1468160</v>
      </c>
      <c r="BU56" s="13">
        <f t="shared" si="40"/>
        <v>-488640</v>
      </c>
      <c r="BV56" s="13">
        <f t="shared" si="40"/>
        <v>-1024320</v>
      </c>
      <c r="BW56" s="13">
        <f t="shared" si="40"/>
        <v>-5832320</v>
      </c>
      <c r="BX56" s="13">
        <f t="shared" si="40"/>
        <v>-676800</v>
      </c>
      <c r="BY56" s="13">
        <f t="shared" si="40"/>
        <v>-1128960</v>
      </c>
      <c r="BZ56" s="13">
        <f t="shared" si="40"/>
        <v>-2727360</v>
      </c>
      <c r="CB56"/>
    </row>
    <row r="57" spans="1:80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80" s="19" customFormat="1" x14ac:dyDescent="0.2">
      <c r="A58" s="46" t="s">
        <v>155</v>
      </c>
      <c r="B58" s="44" t="s">
        <v>174</v>
      </c>
      <c r="C58" s="45"/>
      <c r="D58" s="45">
        <f>IF((D24+D33+D41+D50+D56)&lt;0,0,D24+D33+D41+D50+D56)</f>
        <v>0</v>
      </c>
      <c r="E58" s="45">
        <f>IF((E24+E33+E41+E50+E56)&lt;0,0,E24+E33+E41+E50+E56)</f>
        <v>0</v>
      </c>
      <c r="F58" s="45">
        <f>IF((F24+F33+F41+F50+F56)&lt;0,0,F24+F33+F41+F50+F56)</f>
        <v>398758.19703999988</v>
      </c>
      <c r="G58" s="45">
        <f>IF((G24+G33+G41+G50+G56)&lt;0,0,G24+G33+G41+G50+G56)</f>
        <v>626127.75207000005</v>
      </c>
      <c r="H58" s="45">
        <f t="shared" ref="H58:BQ58" si="41">IF((H24+H33+H41+H50+H56)&lt;0,0,H24+H33+H41+H50+H56)</f>
        <v>80082.678425460123</v>
      </c>
      <c r="I58" s="45">
        <f t="shared" si="41"/>
        <v>0</v>
      </c>
      <c r="J58" s="45">
        <f t="shared" si="41"/>
        <v>0</v>
      </c>
      <c r="K58" s="45">
        <f t="shared" si="41"/>
        <v>26133.746900000027</v>
      </c>
      <c r="L58" s="45">
        <f t="shared" si="41"/>
        <v>0</v>
      </c>
      <c r="M58" s="45">
        <f t="shared" si="41"/>
        <v>298583.49488999997</v>
      </c>
      <c r="N58" s="45">
        <f t="shared" si="41"/>
        <v>636728.67739181686</v>
      </c>
      <c r="O58" s="45">
        <f t="shared" si="41"/>
        <v>0</v>
      </c>
      <c r="P58" s="45">
        <f t="shared" si="41"/>
        <v>0</v>
      </c>
      <c r="Q58" s="45">
        <f t="shared" si="41"/>
        <v>0</v>
      </c>
      <c r="R58" s="45">
        <f t="shared" si="41"/>
        <v>0</v>
      </c>
      <c r="S58" s="45">
        <f t="shared" si="41"/>
        <v>0</v>
      </c>
      <c r="T58" s="45">
        <f t="shared" si="41"/>
        <v>0</v>
      </c>
      <c r="U58" s="45">
        <f t="shared" si="41"/>
        <v>0</v>
      </c>
      <c r="V58" s="45">
        <f t="shared" si="41"/>
        <v>0</v>
      </c>
      <c r="W58" s="45">
        <f t="shared" si="41"/>
        <v>0</v>
      </c>
      <c r="X58" s="45">
        <f t="shared" si="41"/>
        <v>0</v>
      </c>
      <c r="Y58" s="45">
        <f t="shared" si="41"/>
        <v>0</v>
      </c>
      <c r="Z58" s="45">
        <f t="shared" si="41"/>
        <v>130383.5120300001</v>
      </c>
      <c r="AA58" s="45">
        <f t="shared" si="41"/>
        <v>987532.21214000043</v>
      </c>
      <c r="AB58" s="45">
        <f t="shared" si="41"/>
        <v>236844.85794911918</v>
      </c>
      <c r="AC58" s="45">
        <f t="shared" si="41"/>
        <v>1446770.5353471497</v>
      </c>
      <c r="AD58" s="45">
        <f t="shared" si="41"/>
        <v>266147.35623999988</v>
      </c>
      <c r="AE58" s="45">
        <f t="shared" si="41"/>
        <v>751228.33833500231</v>
      </c>
      <c r="AF58" s="45">
        <f t="shared" si="41"/>
        <v>447491.86198000005</v>
      </c>
      <c r="AG58" s="45">
        <f t="shared" si="41"/>
        <v>1032590.1133899996</v>
      </c>
      <c r="AH58" s="45">
        <f t="shared" si="41"/>
        <v>0</v>
      </c>
      <c r="AI58" s="45">
        <f t="shared" si="41"/>
        <v>129390.08941000025</v>
      </c>
      <c r="AJ58" s="45">
        <f t="shared" si="41"/>
        <v>348526.69684993732</v>
      </c>
      <c r="AK58" s="45">
        <f t="shared" si="41"/>
        <v>0</v>
      </c>
      <c r="AL58" s="45">
        <f t="shared" si="41"/>
        <v>170546.56534999982</v>
      </c>
      <c r="AM58" s="45">
        <f t="shared" si="41"/>
        <v>0</v>
      </c>
      <c r="AN58" s="45">
        <f t="shared" si="41"/>
        <v>2369195.55557054</v>
      </c>
      <c r="AO58" s="45">
        <f t="shared" si="41"/>
        <v>1066153.7737800009</v>
      </c>
      <c r="AP58" s="45">
        <f t="shared" si="41"/>
        <v>1021470.2771500004</v>
      </c>
      <c r="AQ58" s="45">
        <f t="shared" si="41"/>
        <v>0</v>
      </c>
      <c r="AR58" s="45">
        <f t="shared" si="41"/>
        <v>476526.79672895139</v>
      </c>
      <c r="AS58" s="45">
        <f t="shared" si="41"/>
        <v>1529746.9052200001</v>
      </c>
      <c r="AT58" s="45">
        <f t="shared" si="41"/>
        <v>0</v>
      </c>
      <c r="AU58" s="45">
        <f t="shared" si="41"/>
        <v>299782.37998999981</v>
      </c>
      <c r="AV58" s="45">
        <f t="shared" si="41"/>
        <v>192623.14033999993</v>
      </c>
      <c r="AW58" s="45">
        <f t="shared" si="41"/>
        <v>0</v>
      </c>
      <c r="AX58" s="45">
        <f t="shared" si="41"/>
        <v>158714.07502222201</v>
      </c>
      <c r="AY58" s="45">
        <f t="shared" si="41"/>
        <v>0</v>
      </c>
      <c r="AZ58" s="45">
        <f t="shared" si="41"/>
        <v>0</v>
      </c>
      <c r="BA58" s="45">
        <f t="shared" si="41"/>
        <v>0</v>
      </c>
      <c r="BB58" s="45">
        <f t="shared" si="41"/>
        <v>1522598.8737604851</v>
      </c>
      <c r="BC58" s="45">
        <f t="shared" si="41"/>
        <v>2260956.5719739445</v>
      </c>
      <c r="BD58" s="45">
        <f t="shared" si="41"/>
        <v>2355376.22095</v>
      </c>
      <c r="BE58" s="45">
        <f t="shared" si="41"/>
        <v>1442430.1479000002</v>
      </c>
      <c r="BF58" s="45">
        <f t="shared" si="41"/>
        <v>1205080.2708300012</v>
      </c>
      <c r="BG58" s="45">
        <f t="shared" si="41"/>
        <v>0</v>
      </c>
      <c r="BH58" s="45">
        <f t="shared" si="41"/>
        <v>5015705.2572847642</v>
      </c>
      <c r="BI58" s="45">
        <f t="shared" si="41"/>
        <v>620556.56717000017</v>
      </c>
      <c r="BJ58" s="45">
        <f t="shared" si="41"/>
        <v>629189.20239947899</v>
      </c>
      <c r="BK58" s="45">
        <f t="shared" si="41"/>
        <v>1927480.7002299996</v>
      </c>
      <c r="BL58" s="45">
        <f t="shared" si="41"/>
        <v>2142770.5168129914</v>
      </c>
      <c r="BM58" s="45">
        <f t="shared" si="41"/>
        <v>0</v>
      </c>
      <c r="BN58" s="45">
        <f t="shared" si="41"/>
        <v>0</v>
      </c>
      <c r="BO58" s="45">
        <f t="shared" si="41"/>
        <v>0</v>
      </c>
      <c r="BP58" s="45">
        <f t="shared" si="41"/>
        <v>0</v>
      </c>
      <c r="BQ58" s="45">
        <f t="shared" si="41"/>
        <v>852000.8928400008</v>
      </c>
      <c r="BR58" s="45">
        <f t="shared" ref="BR58:BZ58" si="42">IF((BR24+BR33+BR41+BR50+BR56)&lt;0,0,BR24+BR33+BR41+BR50+BR56)</f>
        <v>0</v>
      </c>
      <c r="BS58" s="45">
        <f t="shared" si="42"/>
        <v>0</v>
      </c>
      <c r="BT58" s="45">
        <f t="shared" si="42"/>
        <v>716493.77890793653</v>
      </c>
      <c r="BU58" s="45">
        <f t="shared" si="42"/>
        <v>539943.15429999994</v>
      </c>
      <c r="BV58" s="45">
        <f t="shared" si="42"/>
        <v>579419.43603291665</v>
      </c>
      <c r="BW58" s="45">
        <f t="shared" si="42"/>
        <v>0</v>
      </c>
      <c r="BX58" s="45">
        <f t="shared" si="42"/>
        <v>105148.7625500001</v>
      </c>
      <c r="BY58" s="45">
        <f t="shared" si="42"/>
        <v>1846084.4238029718</v>
      </c>
      <c r="BZ58" s="45">
        <f t="shared" si="42"/>
        <v>0</v>
      </c>
      <c r="CA58" s="44"/>
      <c r="CB58" s="46"/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x14ac:dyDescent="0.2">
      <c r="A60" s="46" t="s">
        <v>156</v>
      </c>
      <c r="B60" s="44" t="s">
        <v>139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46"/>
      <c r="CB60" s="46"/>
    </row>
    <row r="61" spans="1:80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80" x14ac:dyDescent="0.2">
      <c r="B62" t="s">
        <v>141</v>
      </c>
      <c r="C62" s="3"/>
      <c r="D62" s="49">
        <f>'Ressourcenausgleich Basis'!D144</f>
        <v>1.1050855927981791</v>
      </c>
      <c r="E62" s="49">
        <f>'Ressourcenausgleich Basis'!E144</f>
        <v>0.81256363106012575</v>
      </c>
      <c r="F62" s="49">
        <f>'Ressourcenausgleich Basis'!F144</f>
        <v>0.83214123572502385</v>
      </c>
      <c r="G62" s="49">
        <f>'Ressourcenausgleich Basis'!G144</f>
        <v>0.73522592800931885</v>
      </c>
      <c r="H62" s="49">
        <f>'Ressourcenausgleich Basis'!H144</f>
        <v>1.8832390117615831</v>
      </c>
      <c r="I62" s="49">
        <f>'Ressourcenausgleich Basis'!I144</f>
        <v>1.0802814808669692</v>
      </c>
      <c r="J62" s="49">
        <f>'Ressourcenausgleich Basis'!J144</f>
        <v>0.99983863874054502</v>
      </c>
      <c r="K62" s="49">
        <f>'Ressourcenausgleich Basis'!K144</f>
        <v>1.0822626167918978</v>
      </c>
      <c r="L62" s="49">
        <f>'Ressourcenausgleich Basis'!L144</f>
        <v>1.2333108356233773</v>
      </c>
      <c r="M62" s="49">
        <f>'Ressourcenausgleich Basis'!M144</f>
        <v>0.89003716359676754</v>
      </c>
      <c r="N62" s="49">
        <f>'Ressourcenausgleich Basis'!N144</f>
        <v>0.86367643583305309</v>
      </c>
      <c r="O62" s="49">
        <f>'Ressourcenausgleich Basis'!O144</f>
        <v>1.0355090715835151</v>
      </c>
      <c r="P62" s="49">
        <f>'Ressourcenausgleich Basis'!P144</f>
        <v>0.82779021588303192</v>
      </c>
      <c r="Q62" s="49">
        <f>'Ressourcenausgleich Basis'!Q144</f>
        <v>1.1611982329590489</v>
      </c>
      <c r="R62" s="49">
        <f>'Ressourcenausgleich Basis'!R144</f>
        <v>0.80100797782120814</v>
      </c>
      <c r="S62" s="49">
        <f>'Ressourcenausgleich Basis'!S144</f>
        <v>0.92978697781684572</v>
      </c>
      <c r="T62" s="49">
        <f>'Ressourcenausgleich Basis'!T144</f>
        <v>1.0887040638011016</v>
      </c>
      <c r="U62" s="49">
        <f>'Ressourcenausgleich Basis'!U144</f>
        <v>1.1643084936868673</v>
      </c>
      <c r="V62" s="49">
        <f>'Ressourcenausgleich Basis'!V144</f>
        <v>1.6075463785218986</v>
      </c>
      <c r="W62" s="49">
        <f>'Ressourcenausgleich Basis'!W144</f>
        <v>1.0537936070863996</v>
      </c>
      <c r="X62" s="49">
        <f>'Ressourcenausgleich Basis'!X144</f>
        <v>1.1190639397391751</v>
      </c>
      <c r="Y62" s="49">
        <f>'Ressourcenausgleich Basis'!Y144</f>
        <v>1.0051024331421243</v>
      </c>
      <c r="Z62" s="49">
        <f>'Ressourcenausgleich Basis'!Z144</f>
        <v>0.86195101230045368</v>
      </c>
      <c r="AA62" s="49">
        <f>'Ressourcenausgleich Basis'!AA144</f>
        <v>0.95491139738881747</v>
      </c>
      <c r="AB62" s="49">
        <f>'Ressourcenausgleich Basis'!AB144</f>
        <v>0.81252821518405349</v>
      </c>
      <c r="AC62" s="49">
        <f>'Ressourcenausgleich Basis'!AC144</f>
        <v>0.90714434015390066</v>
      </c>
      <c r="AD62" s="49">
        <f>'Ressourcenausgleich Basis'!AD144</f>
        <v>0.85575500656005532</v>
      </c>
      <c r="AE62" s="49">
        <f>'Ressourcenausgleich Basis'!AE144</f>
        <v>1.2101412209518245</v>
      </c>
      <c r="AF62" s="49">
        <f>'Ressourcenausgleich Basis'!AF144</f>
        <v>0.84401577682944218</v>
      </c>
      <c r="AG62" s="49">
        <f>'Ressourcenausgleich Basis'!AG144</f>
        <v>0.87746857081641061</v>
      </c>
      <c r="AH62" s="49">
        <f>'Ressourcenausgleich Basis'!AH144</f>
        <v>0.92965463470452903</v>
      </c>
      <c r="AI62" s="49">
        <f>'Ressourcenausgleich Basis'!AI144</f>
        <v>0.83302636508090355</v>
      </c>
      <c r="AJ62" s="49">
        <f>'Ressourcenausgleich Basis'!AJ144</f>
        <v>0.73077947147316025</v>
      </c>
      <c r="AK62" s="49">
        <f>'Ressourcenausgleich Basis'!AK144</f>
        <v>0.83607239225099028</v>
      </c>
      <c r="AL62" s="49">
        <f>'Ressourcenausgleich Basis'!AL144</f>
        <v>0.81316544459765827</v>
      </c>
      <c r="AM62" s="49">
        <f>'Ressourcenausgleich Basis'!AM144</f>
        <v>1.0342596334375334</v>
      </c>
      <c r="AN62" s="49">
        <f>'Ressourcenausgleich Basis'!AN144</f>
        <v>0.73257423427253587</v>
      </c>
      <c r="AO62" s="49">
        <f>'Ressourcenausgleich Basis'!AO144</f>
        <v>0.79214073830961618</v>
      </c>
      <c r="AP62" s="49">
        <f>'Ressourcenausgleich Basis'!AP144</f>
        <v>0.80770783070632957</v>
      </c>
      <c r="AQ62" s="49">
        <f>'Ressourcenausgleich Basis'!AQ144</f>
        <v>0.86678093844240089</v>
      </c>
      <c r="AR62" s="49">
        <f>'Ressourcenausgleich Basis'!AR144</f>
        <v>0.9544022085182583</v>
      </c>
      <c r="AS62" s="49">
        <f>'Ressourcenausgleich Basis'!AS144</f>
        <v>1.1704703197922812</v>
      </c>
      <c r="AT62" s="49">
        <f>'Ressourcenausgleich Basis'!AT144</f>
        <v>1.0391622186731144</v>
      </c>
      <c r="AU62" s="49">
        <f>'Ressourcenausgleich Basis'!AU144</f>
        <v>0.70426570228247076</v>
      </c>
      <c r="AV62" s="49">
        <f>'Ressourcenausgleich Basis'!AV144</f>
        <v>0.79996777851506584</v>
      </c>
      <c r="AW62" s="49">
        <f>'Ressourcenausgleich Basis'!AW144</f>
        <v>0.78759793350833107</v>
      </c>
      <c r="AX62" s="49">
        <f>'Ressourcenausgleich Basis'!AX144</f>
        <v>1.0700100631207323</v>
      </c>
      <c r="AY62" s="49">
        <f>'Ressourcenausgleich Basis'!AY144</f>
        <v>0.89353288805049669</v>
      </c>
      <c r="AZ62" s="49">
        <f>'Ressourcenausgleich Basis'!AZ144</f>
        <v>1.0197357999351631</v>
      </c>
      <c r="BA62" s="49">
        <f>'Ressourcenausgleich Basis'!BA144</f>
        <v>1.6349009497627873</v>
      </c>
      <c r="BB62" s="49">
        <f>'Ressourcenausgleich Basis'!BB144</f>
        <v>0.92433187767043601</v>
      </c>
      <c r="BC62" s="49">
        <f>'Ressourcenausgleich Basis'!BC144</f>
        <v>0.95733653300582944</v>
      </c>
      <c r="BD62" s="49">
        <f>'Ressourcenausgleich Basis'!BD144</f>
        <v>0.71925749985132748</v>
      </c>
      <c r="BE62" s="49">
        <f>'Ressourcenausgleich Basis'!BE144</f>
        <v>0.7534592913441871</v>
      </c>
      <c r="BF62" s="49">
        <f>'Ressourcenausgleich Basis'!BF144</f>
        <v>0.74800261398733847</v>
      </c>
      <c r="BG62" s="49">
        <f>'Ressourcenausgleich Basis'!BG144</f>
        <v>0.79897431967533683</v>
      </c>
      <c r="BH62" s="49">
        <f>'Ressourcenausgleich Basis'!BH144</f>
        <v>0.64901579954077682</v>
      </c>
      <c r="BI62" s="49">
        <f>'Ressourcenausgleich Basis'!BI144</f>
        <v>0.7655416838121667</v>
      </c>
      <c r="BJ62" s="49">
        <f>'Ressourcenausgleich Basis'!BJ144</f>
        <v>0.73360976356108321</v>
      </c>
      <c r="BK62" s="49">
        <f>'Ressourcenausgleich Basis'!BK144</f>
        <v>0.63178959467780971</v>
      </c>
      <c r="BL62" s="49">
        <f>'Ressourcenausgleich Basis'!BL144</f>
        <v>0.84617557907877083</v>
      </c>
      <c r="BM62" s="49">
        <f>'Ressourcenausgleich Basis'!BM144</f>
        <v>0.90103725361249265</v>
      </c>
      <c r="BN62" s="49">
        <f>'Ressourcenausgleich Basis'!BN144</f>
        <v>0.83720925044223071</v>
      </c>
      <c r="BO62" s="49">
        <f>'Ressourcenausgleich Basis'!BO144</f>
        <v>0.81026472198117239</v>
      </c>
      <c r="BP62" s="49">
        <f>'Ressourcenausgleich Basis'!BP144</f>
        <v>0.76512759096420446</v>
      </c>
      <c r="BQ62" s="49">
        <f>'Ressourcenausgleich Basis'!BQ144</f>
        <v>0.76586582743740872</v>
      </c>
      <c r="BR62" s="49">
        <f>'Ressourcenausgleich Basis'!BR144</f>
        <v>1.0632888925547292</v>
      </c>
      <c r="BS62" s="49">
        <f>'Ressourcenausgleich Basis'!BS144</f>
        <v>1.2658873785799873</v>
      </c>
      <c r="BT62" s="49">
        <f>'Ressourcenausgleich Basis'!BT144</f>
        <v>0.97307628570543625</v>
      </c>
      <c r="BU62" s="49">
        <f>'Ressourcenausgleich Basis'!BU144</f>
        <v>0.82815355374431388</v>
      </c>
      <c r="BV62" s="49">
        <f>'Ressourcenausgleich Basis'!BV144</f>
        <v>0.84104589402751118</v>
      </c>
      <c r="BW62" s="49">
        <f>'Ressourcenausgleich Basis'!BW144</f>
        <v>0.98205938528074588</v>
      </c>
      <c r="BX62" s="49">
        <f>'Ressourcenausgleich Basis'!BX144</f>
        <v>0.96136943665142649</v>
      </c>
      <c r="BY62" s="49">
        <f>'Ressourcenausgleich Basis'!BY144</f>
        <v>0.86204753052058847</v>
      </c>
      <c r="BZ62" s="49">
        <f>'Ressourcenausgleich Basis'!BZ144</f>
        <v>1.113942225191906</v>
      </c>
    </row>
    <row r="63" spans="1:80" x14ac:dyDescent="0.2">
      <c r="C63" s="3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</row>
    <row r="64" spans="1:80" x14ac:dyDescent="0.2">
      <c r="B64" t="s">
        <v>142</v>
      </c>
      <c r="C64" s="3"/>
      <c r="D64" s="49">
        <f>IF(D62&lt;100%,0%,IF(D62&gt;120%,100%,(-100%+D62)/20*100))</f>
        <v>0.52542796399089542</v>
      </c>
      <c r="E64" s="49">
        <f t="shared" ref="E64:BN64" si="43">IF(E62&lt;100%,0%,IF(E62&gt;120%,100%,(-100%+E62)/20*100))</f>
        <v>0</v>
      </c>
      <c r="F64" s="49">
        <f t="shared" si="43"/>
        <v>0</v>
      </c>
      <c r="G64" s="49">
        <f t="shared" si="43"/>
        <v>0</v>
      </c>
      <c r="H64" s="49">
        <f t="shared" si="43"/>
        <v>1</v>
      </c>
      <c r="I64" s="49">
        <f t="shared" si="43"/>
        <v>0.4014074043348459</v>
      </c>
      <c r="J64" s="49">
        <f t="shared" si="43"/>
        <v>0</v>
      </c>
      <c r="K64" s="49">
        <f t="shared" si="43"/>
        <v>0.41131308395948912</v>
      </c>
      <c r="L64" s="49">
        <f t="shared" si="43"/>
        <v>1</v>
      </c>
      <c r="M64" s="49">
        <f t="shared" si="43"/>
        <v>0</v>
      </c>
      <c r="N64" s="49">
        <f t="shared" si="43"/>
        <v>0</v>
      </c>
      <c r="O64" s="49">
        <f t="shared" si="43"/>
        <v>0.17754535791757564</v>
      </c>
      <c r="P64" s="49">
        <f t="shared" si="43"/>
        <v>0</v>
      </c>
      <c r="Q64" s="49">
        <f t="shared" si="43"/>
        <v>0.80599116479524446</v>
      </c>
      <c r="R64" s="49">
        <f t="shared" si="43"/>
        <v>0</v>
      </c>
      <c r="S64" s="49">
        <f t="shared" si="43"/>
        <v>0</v>
      </c>
      <c r="T64" s="49">
        <f t="shared" si="43"/>
        <v>0.44352031900550815</v>
      </c>
      <c r="U64" s="49">
        <f t="shared" si="43"/>
        <v>0.82154246843433643</v>
      </c>
      <c r="V64" s="49">
        <f t="shared" si="43"/>
        <v>1</v>
      </c>
      <c r="W64" s="49">
        <f t="shared" si="43"/>
        <v>0.26896803543199788</v>
      </c>
      <c r="X64" s="49">
        <f t="shared" si="43"/>
        <v>0.59531969869587531</v>
      </c>
      <c r="Y64" s="49">
        <f t="shared" si="43"/>
        <v>2.5512165710621648E-2</v>
      </c>
      <c r="Z64" s="49">
        <f t="shared" si="43"/>
        <v>0</v>
      </c>
      <c r="AA64" s="49">
        <f t="shared" si="43"/>
        <v>0</v>
      </c>
      <c r="AB64" s="49">
        <f t="shared" si="43"/>
        <v>0</v>
      </c>
      <c r="AC64" s="49">
        <f t="shared" si="43"/>
        <v>0</v>
      </c>
      <c r="AD64" s="49">
        <f t="shared" si="43"/>
        <v>0</v>
      </c>
      <c r="AE64" s="49">
        <f t="shared" si="43"/>
        <v>1</v>
      </c>
      <c r="AF64" s="49">
        <f t="shared" si="43"/>
        <v>0</v>
      </c>
      <c r="AG64" s="49">
        <f t="shared" si="43"/>
        <v>0</v>
      </c>
      <c r="AH64" s="49">
        <f t="shared" si="43"/>
        <v>0</v>
      </c>
      <c r="AI64" s="49">
        <f t="shared" si="43"/>
        <v>0</v>
      </c>
      <c r="AJ64" s="49">
        <f t="shared" si="43"/>
        <v>0</v>
      </c>
      <c r="AK64" s="49">
        <f t="shared" si="43"/>
        <v>0</v>
      </c>
      <c r="AL64" s="49">
        <f t="shared" si="43"/>
        <v>0</v>
      </c>
      <c r="AM64" s="49">
        <f t="shared" si="43"/>
        <v>0.17129816718766677</v>
      </c>
      <c r="AN64" s="49">
        <f t="shared" si="43"/>
        <v>0</v>
      </c>
      <c r="AO64" s="49">
        <f t="shared" si="43"/>
        <v>0</v>
      </c>
      <c r="AP64" s="49">
        <f t="shared" si="43"/>
        <v>0</v>
      </c>
      <c r="AQ64" s="49">
        <f t="shared" si="43"/>
        <v>0</v>
      </c>
      <c r="AR64" s="49">
        <f t="shared" si="43"/>
        <v>0</v>
      </c>
      <c r="AS64" s="49">
        <f t="shared" si="43"/>
        <v>0.85235159896140611</v>
      </c>
      <c r="AT64" s="49">
        <f t="shared" si="43"/>
        <v>0.19581109336557212</v>
      </c>
      <c r="AU64" s="49">
        <f t="shared" si="43"/>
        <v>0</v>
      </c>
      <c r="AV64" s="49">
        <f t="shared" si="43"/>
        <v>0</v>
      </c>
      <c r="AW64" s="49">
        <f t="shared" si="43"/>
        <v>0</v>
      </c>
      <c r="AX64" s="49">
        <f t="shared" si="43"/>
        <v>0.35005031560366162</v>
      </c>
      <c r="AY64" s="49">
        <f t="shared" si="43"/>
        <v>0</v>
      </c>
      <c r="AZ64" s="49">
        <f t="shared" si="43"/>
        <v>9.8678999675815282E-2</v>
      </c>
      <c r="BA64" s="49">
        <f t="shared" si="43"/>
        <v>1</v>
      </c>
      <c r="BB64" s="49">
        <f t="shared" si="43"/>
        <v>0</v>
      </c>
      <c r="BC64" s="49">
        <f t="shared" si="43"/>
        <v>0</v>
      </c>
      <c r="BD64" s="49">
        <f t="shared" si="43"/>
        <v>0</v>
      </c>
      <c r="BE64" s="49">
        <f t="shared" si="43"/>
        <v>0</v>
      </c>
      <c r="BF64" s="49">
        <f t="shared" si="43"/>
        <v>0</v>
      </c>
      <c r="BG64" s="49">
        <f t="shared" si="43"/>
        <v>0</v>
      </c>
      <c r="BH64" s="49">
        <f t="shared" ref="BH64" si="44">IF(BH62&lt;100%,0%,IF(BH62&gt;120%,100%,(-100%+BH62)/20*100))</f>
        <v>0</v>
      </c>
      <c r="BI64" s="49">
        <f t="shared" si="43"/>
        <v>0</v>
      </c>
      <c r="BJ64" s="49">
        <f t="shared" si="43"/>
        <v>0</v>
      </c>
      <c r="BK64" s="49">
        <f t="shared" si="43"/>
        <v>0</v>
      </c>
      <c r="BL64" s="49">
        <f t="shared" si="43"/>
        <v>0</v>
      </c>
      <c r="BM64" s="49">
        <f t="shared" si="43"/>
        <v>0</v>
      </c>
      <c r="BN64" s="49">
        <f t="shared" si="43"/>
        <v>0</v>
      </c>
      <c r="BO64" s="49">
        <f t="shared" ref="BO64:BZ64" si="45">IF(BO62&lt;100%,0%,IF(BO62&gt;120%,100%,(-100%+BO62)/20*100))</f>
        <v>0</v>
      </c>
      <c r="BP64" s="49">
        <f t="shared" si="45"/>
        <v>0</v>
      </c>
      <c r="BQ64" s="49">
        <f t="shared" si="45"/>
        <v>0</v>
      </c>
      <c r="BR64" s="49">
        <f t="shared" si="45"/>
        <v>0.31644446277364624</v>
      </c>
      <c r="BS64" s="49">
        <f t="shared" si="45"/>
        <v>1</v>
      </c>
      <c r="BT64" s="49">
        <f t="shared" si="45"/>
        <v>0</v>
      </c>
      <c r="BU64" s="49">
        <f t="shared" si="45"/>
        <v>0</v>
      </c>
      <c r="BV64" s="49">
        <f t="shared" si="45"/>
        <v>0</v>
      </c>
      <c r="BW64" s="49">
        <f t="shared" si="45"/>
        <v>0</v>
      </c>
      <c r="BX64" s="49">
        <f t="shared" si="45"/>
        <v>0</v>
      </c>
      <c r="BY64" s="49">
        <f t="shared" si="45"/>
        <v>0</v>
      </c>
      <c r="BZ64" s="49">
        <f t="shared" si="45"/>
        <v>0.56971112595953</v>
      </c>
    </row>
    <row r="65" spans="1:80" s="3" customFormat="1" x14ac:dyDescent="0.2">
      <c r="B65" s="3" t="s">
        <v>146</v>
      </c>
      <c r="D65" s="3">
        <f t="shared" ref="D65:AI65" si="46">D58*-D64</f>
        <v>0</v>
      </c>
      <c r="E65" s="3">
        <f t="shared" si="46"/>
        <v>0</v>
      </c>
      <c r="F65" s="3">
        <f t="shared" si="46"/>
        <v>0</v>
      </c>
      <c r="G65" s="3">
        <f t="shared" si="46"/>
        <v>0</v>
      </c>
      <c r="H65" s="3">
        <f t="shared" si="46"/>
        <v>-80082.678425460123</v>
      </c>
      <c r="I65" s="3">
        <f t="shared" si="46"/>
        <v>0</v>
      </c>
      <c r="J65" s="3">
        <f t="shared" si="46"/>
        <v>0</v>
      </c>
      <c r="K65" s="3">
        <f t="shared" si="46"/>
        <v>-10749.152032855749</v>
      </c>
      <c r="L65" s="3">
        <f t="shared" si="46"/>
        <v>0</v>
      </c>
      <c r="M65" s="3">
        <f t="shared" si="46"/>
        <v>0</v>
      </c>
      <c r="N65" s="3">
        <f t="shared" si="46"/>
        <v>0</v>
      </c>
      <c r="O65" s="3">
        <f t="shared" si="46"/>
        <v>0</v>
      </c>
      <c r="P65" s="3">
        <f t="shared" si="46"/>
        <v>0</v>
      </c>
      <c r="Q65" s="3">
        <f t="shared" si="46"/>
        <v>0</v>
      </c>
      <c r="R65" s="3">
        <f t="shared" si="46"/>
        <v>0</v>
      </c>
      <c r="S65" s="3">
        <f t="shared" si="46"/>
        <v>0</v>
      </c>
      <c r="T65" s="3">
        <f t="shared" si="46"/>
        <v>0</v>
      </c>
      <c r="U65" s="3">
        <f t="shared" si="46"/>
        <v>0</v>
      </c>
      <c r="V65" s="3">
        <f t="shared" si="46"/>
        <v>0</v>
      </c>
      <c r="W65" s="3">
        <f t="shared" si="46"/>
        <v>0</v>
      </c>
      <c r="X65" s="3">
        <f t="shared" si="46"/>
        <v>0</v>
      </c>
      <c r="Y65" s="3">
        <f t="shared" si="46"/>
        <v>0</v>
      </c>
      <c r="Z65" s="3">
        <f t="shared" si="46"/>
        <v>0</v>
      </c>
      <c r="AA65" s="3">
        <f t="shared" si="46"/>
        <v>0</v>
      </c>
      <c r="AB65" s="3">
        <f t="shared" si="46"/>
        <v>0</v>
      </c>
      <c r="AC65" s="3">
        <f t="shared" si="46"/>
        <v>0</v>
      </c>
      <c r="AD65" s="3">
        <f t="shared" si="46"/>
        <v>0</v>
      </c>
      <c r="AE65" s="3">
        <f t="shared" si="46"/>
        <v>-751228.33833500231</v>
      </c>
      <c r="AF65" s="3">
        <f t="shared" si="46"/>
        <v>0</v>
      </c>
      <c r="AG65" s="3">
        <f t="shared" si="46"/>
        <v>0</v>
      </c>
      <c r="AH65" s="3">
        <f t="shared" si="46"/>
        <v>0</v>
      </c>
      <c r="AI65" s="3">
        <f t="shared" si="46"/>
        <v>0</v>
      </c>
      <c r="AJ65" s="3">
        <f t="shared" ref="AJ65:BM65" si="47">AJ58*-AJ64</f>
        <v>0</v>
      </c>
      <c r="AK65" s="3">
        <f t="shared" si="47"/>
        <v>0</v>
      </c>
      <c r="AL65" s="3">
        <f t="shared" si="47"/>
        <v>0</v>
      </c>
      <c r="AM65" s="3">
        <f t="shared" si="47"/>
        <v>0</v>
      </c>
      <c r="AN65" s="3">
        <f t="shared" si="47"/>
        <v>0</v>
      </c>
      <c r="AO65" s="3">
        <f t="shared" si="47"/>
        <v>0</v>
      </c>
      <c r="AP65" s="3">
        <f t="shared" si="47"/>
        <v>0</v>
      </c>
      <c r="AQ65" s="3">
        <f t="shared" si="47"/>
        <v>0</v>
      </c>
      <c r="AR65" s="3">
        <f t="shared" si="47"/>
        <v>0</v>
      </c>
      <c r="AS65" s="3">
        <f t="shared" si="47"/>
        <v>-1303882.2206705296</v>
      </c>
      <c r="AT65" s="3">
        <f t="shared" si="47"/>
        <v>0</v>
      </c>
      <c r="AU65" s="3">
        <f t="shared" si="47"/>
        <v>0</v>
      </c>
      <c r="AV65" s="3">
        <f t="shared" si="47"/>
        <v>0</v>
      </c>
      <c r="AW65" s="3">
        <f t="shared" si="47"/>
        <v>0</v>
      </c>
      <c r="AX65" s="3">
        <f t="shared" si="47"/>
        <v>-55557.91205227204</v>
      </c>
      <c r="AY65" s="3">
        <f t="shared" si="47"/>
        <v>0</v>
      </c>
      <c r="AZ65" s="3">
        <f t="shared" si="47"/>
        <v>0</v>
      </c>
      <c r="BA65" s="3">
        <f t="shared" si="47"/>
        <v>0</v>
      </c>
      <c r="BB65" s="3">
        <f t="shared" si="47"/>
        <v>0</v>
      </c>
      <c r="BC65" s="3">
        <f t="shared" si="47"/>
        <v>0</v>
      </c>
      <c r="BD65" s="3">
        <f t="shared" si="47"/>
        <v>0</v>
      </c>
      <c r="BE65" s="3">
        <f t="shared" si="47"/>
        <v>0</v>
      </c>
      <c r="BF65" s="3">
        <f t="shared" si="47"/>
        <v>0</v>
      </c>
      <c r="BG65" s="3">
        <f t="shared" si="47"/>
        <v>0</v>
      </c>
      <c r="BH65" s="3">
        <f t="shared" ref="BH65" si="48">BH58*-BH64</f>
        <v>0</v>
      </c>
      <c r="BI65" s="3">
        <f t="shared" si="47"/>
        <v>0</v>
      </c>
      <c r="BJ65" s="3">
        <f t="shared" si="47"/>
        <v>0</v>
      </c>
      <c r="BK65" s="3">
        <f t="shared" si="47"/>
        <v>0</v>
      </c>
      <c r="BL65" s="3">
        <f t="shared" si="47"/>
        <v>0</v>
      </c>
      <c r="BM65" s="3">
        <f t="shared" si="47"/>
        <v>0</v>
      </c>
      <c r="BN65" s="3">
        <f t="shared" ref="BN65:BZ65" si="49">BN58*-BN64</f>
        <v>0</v>
      </c>
      <c r="BO65" s="3">
        <f t="shared" si="49"/>
        <v>0</v>
      </c>
      <c r="BP65" s="3">
        <f t="shared" si="49"/>
        <v>0</v>
      </c>
      <c r="BQ65" s="3">
        <f t="shared" si="49"/>
        <v>0</v>
      </c>
      <c r="BR65" s="3">
        <f t="shared" si="49"/>
        <v>0</v>
      </c>
      <c r="BS65" s="3">
        <f t="shared" si="49"/>
        <v>0</v>
      </c>
      <c r="BT65" s="3">
        <f t="shared" si="49"/>
        <v>0</v>
      </c>
      <c r="BU65" s="3">
        <f t="shared" si="49"/>
        <v>0</v>
      </c>
      <c r="BV65" s="3">
        <f t="shared" si="49"/>
        <v>0</v>
      </c>
      <c r="BW65" s="3">
        <f t="shared" si="49"/>
        <v>0</v>
      </c>
      <c r="BX65" s="3">
        <f t="shared" si="49"/>
        <v>0</v>
      </c>
      <c r="BY65" s="3">
        <f t="shared" si="49"/>
        <v>0</v>
      </c>
      <c r="BZ65" s="3">
        <f t="shared" si="49"/>
        <v>0</v>
      </c>
    </row>
    <row r="66" spans="1:80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1:80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1:80" s="41" customFormat="1" ht="15.75" x14ac:dyDescent="0.25">
      <c r="A68" s="51" t="s">
        <v>99</v>
      </c>
      <c r="B68" s="51" t="s">
        <v>144</v>
      </c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1"/>
      <c r="CB68" s="51"/>
    </row>
    <row r="69" spans="1:80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80" s="19" customFormat="1" x14ac:dyDescent="0.2">
      <c r="B70" s="19" t="s">
        <v>174</v>
      </c>
      <c r="C70" s="13">
        <f>SUM(D70:BZ70)</f>
        <v>38889314.367285684</v>
      </c>
      <c r="D70" s="13">
        <f t="shared" ref="D70:AI70" si="50">D58</f>
        <v>0</v>
      </c>
      <c r="E70" s="13">
        <f t="shared" si="50"/>
        <v>0</v>
      </c>
      <c r="F70" s="13">
        <f t="shared" si="50"/>
        <v>398758.19703999988</v>
      </c>
      <c r="G70" s="13">
        <f t="shared" si="50"/>
        <v>626127.75207000005</v>
      </c>
      <c r="H70" s="13">
        <f t="shared" si="50"/>
        <v>80082.678425460123</v>
      </c>
      <c r="I70" s="13">
        <f t="shared" si="50"/>
        <v>0</v>
      </c>
      <c r="J70" s="13">
        <f t="shared" si="50"/>
        <v>0</v>
      </c>
      <c r="K70" s="13">
        <f t="shared" si="50"/>
        <v>26133.746900000027</v>
      </c>
      <c r="L70" s="13">
        <f t="shared" si="50"/>
        <v>0</v>
      </c>
      <c r="M70" s="13">
        <f t="shared" si="50"/>
        <v>298583.49488999997</v>
      </c>
      <c r="N70" s="13">
        <f t="shared" si="50"/>
        <v>636728.67739181686</v>
      </c>
      <c r="O70" s="13">
        <f t="shared" si="50"/>
        <v>0</v>
      </c>
      <c r="P70" s="13">
        <f t="shared" si="50"/>
        <v>0</v>
      </c>
      <c r="Q70" s="13">
        <f t="shared" si="50"/>
        <v>0</v>
      </c>
      <c r="R70" s="13">
        <f t="shared" si="50"/>
        <v>0</v>
      </c>
      <c r="S70" s="13">
        <f t="shared" si="50"/>
        <v>0</v>
      </c>
      <c r="T70" s="13">
        <f t="shared" si="50"/>
        <v>0</v>
      </c>
      <c r="U70" s="13">
        <f t="shared" si="50"/>
        <v>0</v>
      </c>
      <c r="V70" s="13">
        <f t="shared" si="50"/>
        <v>0</v>
      </c>
      <c r="W70" s="13">
        <f t="shared" si="50"/>
        <v>0</v>
      </c>
      <c r="X70" s="13">
        <f t="shared" si="50"/>
        <v>0</v>
      </c>
      <c r="Y70" s="13">
        <f t="shared" si="50"/>
        <v>0</v>
      </c>
      <c r="Z70" s="13">
        <f t="shared" si="50"/>
        <v>130383.5120300001</v>
      </c>
      <c r="AA70" s="13">
        <f t="shared" si="50"/>
        <v>987532.21214000043</v>
      </c>
      <c r="AB70" s="13">
        <f t="shared" si="50"/>
        <v>236844.85794911918</v>
      </c>
      <c r="AC70" s="13">
        <f t="shared" si="50"/>
        <v>1446770.5353471497</v>
      </c>
      <c r="AD70" s="13">
        <f t="shared" si="50"/>
        <v>266147.35623999988</v>
      </c>
      <c r="AE70" s="13">
        <f t="shared" si="50"/>
        <v>751228.33833500231</v>
      </c>
      <c r="AF70" s="13">
        <f t="shared" si="50"/>
        <v>447491.86198000005</v>
      </c>
      <c r="AG70" s="13">
        <f t="shared" si="50"/>
        <v>1032590.1133899996</v>
      </c>
      <c r="AH70" s="13">
        <f t="shared" si="50"/>
        <v>0</v>
      </c>
      <c r="AI70" s="13">
        <f t="shared" si="50"/>
        <v>129390.08941000025</v>
      </c>
      <c r="AJ70" s="13">
        <f t="shared" ref="AJ70:BM70" si="51">AJ58</f>
        <v>348526.69684993732</v>
      </c>
      <c r="AK70" s="13">
        <f t="shared" si="51"/>
        <v>0</v>
      </c>
      <c r="AL70" s="13">
        <f t="shared" si="51"/>
        <v>170546.56534999982</v>
      </c>
      <c r="AM70" s="13">
        <f t="shared" si="51"/>
        <v>0</v>
      </c>
      <c r="AN70" s="13">
        <f t="shared" si="51"/>
        <v>2369195.55557054</v>
      </c>
      <c r="AO70" s="13">
        <f t="shared" si="51"/>
        <v>1066153.7737800009</v>
      </c>
      <c r="AP70" s="13">
        <f t="shared" si="51"/>
        <v>1021470.2771500004</v>
      </c>
      <c r="AQ70" s="13">
        <f t="shared" si="51"/>
        <v>0</v>
      </c>
      <c r="AR70" s="13">
        <f t="shared" si="51"/>
        <v>476526.79672895139</v>
      </c>
      <c r="AS70" s="13">
        <f t="shared" si="51"/>
        <v>1529746.9052200001</v>
      </c>
      <c r="AT70" s="13">
        <f t="shared" si="51"/>
        <v>0</v>
      </c>
      <c r="AU70" s="13">
        <f t="shared" si="51"/>
        <v>299782.37998999981</v>
      </c>
      <c r="AV70" s="13">
        <f t="shared" si="51"/>
        <v>192623.14033999993</v>
      </c>
      <c r="AW70" s="13">
        <f t="shared" si="51"/>
        <v>0</v>
      </c>
      <c r="AX70" s="13">
        <f t="shared" si="51"/>
        <v>158714.07502222201</v>
      </c>
      <c r="AY70" s="13">
        <f t="shared" si="51"/>
        <v>0</v>
      </c>
      <c r="AZ70" s="13">
        <f t="shared" si="51"/>
        <v>0</v>
      </c>
      <c r="BA70" s="13">
        <f t="shared" si="51"/>
        <v>0</v>
      </c>
      <c r="BB70" s="13">
        <f t="shared" si="51"/>
        <v>1522598.8737604851</v>
      </c>
      <c r="BC70" s="13">
        <f t="shared" si="51"/>
        <v>2260956.5719739445</v>
      </c>
      <c r="BD70" s="13">
        <f t="shared" si="51"/>
        <v>2355376.22095</v>
      </c>
      <c r="BE70" s="13">
        <f t="shared" si="51"/>
        <v>1442430.1479000002</v>
      </c>
      <c r="BF70" s="13">
        <f t="shared" si="51"/>
        <v>1205080.2708300012</v>
      </c>
      <c r="BG70" s="13">
        <f t="shared" si="51"/>
        <v>0</v>
      </c>
      <c r="BH70" s="13">
        <f t="shared" ref="BH70" si="52">BH58</f>
        <v>5015705.2572847642</v>
      </c>
      <c r="BI70" s="13">
        <f t="shared" si="51"/>
        <v>620556.56717000017</v>
      </c>
      <c r="BJ70" s="13">
        <f t="shared" si="51"/>
        <v>629189.20239947899</v>
      </c>
      <c r="BK70" s="13">
        <f t="shared" si="51"/>
        <v>1927480.7002299996</v>
      </c>
      <c r="BL70" s="13">
        <f t="shared" si="51"/>
        <v>2142770.5168129914</v>
      </c>
      <c r="BM70" s="13">
        <f t="shared" si="51"/>
        <v>0</v>
      </c>
      <c r="BN70" s="13">
        <f t="shared" ref="BN70:BZ70" si="53">BN58</f>
        <v>0</v>
      </c>
      <c r="BO70" s="13">
        <f t="shared" si="53"/>
        <v>0</v>
      </c>
      <c r="BP70" s="13">
        <f t="shared" si="53"/>
        <v>0</v>
      </c>
      <c r="BQ70" s="13">
        <f t="shared" si="53"/>
        <v>852000.8928400008</v>
      </c>
      <c r="BR70" s="13">
        <f t="shared" si="53"/>
        <v>0</v>
      </c>
      <c r="BS70" s="13">
        <f t="shared" si="53"/>
        <v>0</v>
      </c>
      <c r="BT70" s="13">
        <f t="shared" si="53"/>
        <v>716493.77890793653</v>
      </c>
      <c r="BU70" s="13">
        <f t="shared" si="53"/>
        <v>539943.15429999994</v>
      </c>
      <c r="BV70" s="13">
        <f t="shared" si="53"/>
        <v>579419.43603291665</v>
      </c>
      <c r="BW70" s="13">
        <f t="shared" si="53"/>
        <v>0</v>
      </c>
      <c r="BX70" s="13">
        <f t="shared" si="53"/>
        <v>105148.7625500001</v>
      </c>
      <c r="BY70" s="13">
        <f t="shared" si="53"/>
        <v>1846084.4238029718</v>
      </c>
      <c r="BZ70" s="13">
        <f t="shared" si="53"/>
        <v>0</v>
      </c>
    </row>
    <row r="71" spans="1:80" s="19" customFormat="1" x14ac:dyDescent="0.2">
      <c r="C71" s="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</row>
    <row r="72" spans="1:80" x14ac:dyDescent="0.2">
      <c r="B72" t="s">
        <v>139</v>
      </c>
      <c r="C72" s="3">
        <f>SUM(D72:BZ72)</f>
        <v>-2201500.3015161199</v>
      </c>
      <c r="D72" s="3">
        <f t="shared" ref="D72:AI72" si="54">D65</f>
        <v>0</v>
      </c>
      <c r="E72" s="3">
        <f t="shared" si="54"/>
        <v>0</v>
      </c>
      <c r="F72" s="3">
        <f t="shared" si="54"/>
        <v>0</v>
      </c>
      <c r="G72" s="3">
        <f t="shared" si="54"/>
        <v>0</v>
      </c>
      <c r="H72" s="3">
        <f t="shared" si="54"/>
        <v>-80082.678425460123</v>
      </c>
      <c r="I72" s="3">
        <f t="shared" si="54"/>
        <v>0</v>
      </c>
      <c r="J72" s="3">
        <f t="shared" si="54"/>
        <v>0</v>
      </c>
      <c r="K72" s="3">
        <f t="shared" si="54"/>
        <v>-10749.152032855749</v>
      </c>
      <c r="L72" s="3">
        <f t="shared" si="54"/>
        <v>0</v>
      </c>
      <c r="M72" s="3">
        <f t="shared" si="54"/>
        <v>0</v>
      </c>
      <c r="N72" s="3">
        <f t="shared" si="54"/>
        <v>0</v>
      </c>
      <c r="O72" s="3">
        <f t="shared" si="54"/>
        <v>0</v>
      </c>
      <c r="P72" s="3">
        <f t="shared" si="54"/>
        <v>0</v>
      </c>
      <c r="Q72" s="3">
        <f t="shared" si="54"/>
        <v>0</v>
      </c>
      <c r="R72" s="3">
        <f t="shared" si="54"/>
        <v>0</v>
      </c>
      <c r="S72" s="3">
        <f t="shared" si="54"/>
        <v>0</v>
      </c>
      <c r="T72" s="3">
        <f t="shared" si="54"/>
        <v>0</v>
      </c>
      <c r="U72" s="3">
        <f t="shared" si="54"/>
        <v>0</v>
      </c>
      <c r="V72" s="3">
        <f t="shared" si="54"/>
        <v>0</v>
      </c>
      <c r="W72" s="3">
        <f t="shared" si="54"/>
        <v>0</v>
      </c>
      <c r="X72" s="3">
        <f t="shared" si="54"/>
        <v>0</v>
      </c>
      <c r="Y72" s="3">
        <f t="shared" si="54"/>
        <v>0</v>
      </c>
      <c r="Z72" s="3">
        <f t="shared" si="54"/>
        <v>0</v>
      </c>
      <c r="AA72" s="3">
        <f t="shared" si="54"/>
        <v>0</v>
      </c>
      <c r="AB72" s="3">
        <f t="shared" si="54"/>
        <v>0</v>
      </c>
      <c r="AC72" s="3">
        <f t="shared" si="54"/>
        <v>0</v>
      </c>
      <c r="AD72" s="3">
        <f t="shared" si="54"/>
        <v>0</v>
      </c>
      <c r="AE72" s="3">
        <f t="shared" si="54"/>
        <v>-751228.33833500231</v>
      </c>
      <c r="AF72" s="3">
        <f t="shared" si="54"/>
        <v>0</v>
      </c>
      <c r="AG72" s="3">
        <f t="shared" si="54"/>
        <v>0</v>
      </c>
      <c r="AH72" s="3">
        <f t="shared" si="54"/>
        <v>0</v>
      </c>
      <c r="AI72" s="3">
        <f t="shared" si="54"/>
        <v>0</v>
      </c>
      <c r="AJ72" s="3">
        <f t="shared" ref="AJ72:BM72" si="55">AJ65</f>
        <v>0</v>
      </c>
      <c r="AK72" s="3">
        <f t="shared" si="55"/>
        <v>0</v>
      </c>
      <c r="AL72" s="3">
        <f t="shared" si="55"/>
        <v>0</v>
      </c>
      <c r="AM72" s="3">
        <f t="shared" si="55"/>
        <v>0</v>
      </c>
      <c r="AN72" s="3">
        <f t="shared" si="55"/>
        <v>0</v>
      </c>
      <c r="AO72" s="3">
        <f t="shared" si="55"/>
        <v>0</v>
      </c>
      <c r="AP72" s="3">
        <f t="shared" si="55"/>
        <v>0</v>
      </c>
      <c r="AQ72" s="3">
        <f t="shared" si="55"/>
        <v>0</v>
      </c>
      <c r="AR72" s="3">
        <f t="shared" si="55"/>
        <v>0</v>
      </c>
      <c r="AS72" s="3">
        <f t="shared" si="55"/>
        <v>-1303882.2206705296</v>
      </c>
      <c r="AT72" s="3">
        <f t="shared" si="55"/>
        <v>0</v>
      </c>
      <c r="AU72" s="3">
        <f t="shared" si="55"/>
        <v>0</v>
      </c>
      <c r="AV72" s="3">
        <f t="shared" si="55"/>
        <v>0</v>
      </c>
      <c r="AW72" s="3">
        <f t="shared" si="55"/>
        <v>0</v>
      </c>
      <c r="AX72" s="3">
        <f t="shared" si="55"/>
        <v>-55557.91205227204</v>
      </c>
      <c r="AY72" s="3">
        <f t="shared" si="55"/>
        <v>0</v>
      </c>
      <c r="AZ72" s="3">
        <f t="shared" si="55"/>
        <v>0</v>
      </c>
      <c r="BA72" s="3">
        <f t="shared" si="55"/>
        <v>0</v>
      </c>
      <c r="BB72" s="3">
        <f t="shared" si="55"/>
        <v>0</v>
      </c>
      <c r="BC72" s="3">
        <f t="shared" si="55"/>
        <v>0</v>
      </c>
      <c r="BD72" s="3">
        <f t="shared" si="55"/>
        <v>0</v>
      </c>
      <c r="BE72" s="3">
        <f t="shared" si="55"/>
        <v>0</v>
      </c>
      <c r="BF72" s="3">
        <f t="shared" si="55"/>
        <v>0</v>
      </c>
      <c r="BG72" s="3">
        <f t="shared" si="55"/>
        <v>0</v>
      </c>
      <c r="BH72" s="3">
        <f t="shared" ref="BH72" si="56">BH65</f>
        <v>0</v>
      </c>
      <c r="BI72" s="3">
        <f t="shared" si="55"/>
        <v>0</v>
      </c>
      <c r="BJ72" s="3">
        <f t="shared" si="55"/>
        <v>0</v>
      </c>
      <c r="BK72" s="3">
        <f t="shared" si="55"/>
        <v>0</v>
      </c>
      <c r="BL72" s="3">
        <f t="shared" si="55"/>
        <v>0</v>
      </c>
      <c r="BM72" s="3">
        <f t="shared" si="55"/>
        <v>0</v>
      </c>
      <c r="BN72" s="3">
        <f t="shared" ref="BN72:BZ72" si="57">BN65</f>
        <v>0</v>
      </c>
      <c r="BO72" s="3">
        <f t="shared" si="57"/>
        <v>0</v>
      </c>
      <c r="BP72" s="3">
        <f t="shared" si="57"/>
        <v>0</v>
      </c>
      <c r="BQ72" s="3">
        <f t="shared" si="57"/>
        <v>0</v>
      </c>
      <c r="BR72" s="3">
        <f t="shared" si="57"/>
        <v>0</v>
      </c>
      <c r="BS72" s="3">
        <f t="shared" si="57"/>
        <v>0</v>
      </c>
      <c r="BT72" s="3">
        <f t="shared" si="57"/>
        <v>0</v>
      </c>
      <c r="BU72" s="3">
        <f t="shared" si="57"/>
        <v>0</v>
      </c>
      <c r="BV72" s="3">
        <f t="shared" si="57"/>
        <v>0</v>
      </c>
      <c r="BW72" s="3">
        <f t="shared" si="57"/>
        <v>0</v>
      </c>
      <c r="BX72" s="3">
        <f t="shared" si="57"/>
        <v>0</v>
      </c>
      <c r="BY72" s="3">
        <f t="shared" si="57"/>
        <v>0</v>
      </c>
      <c r="BZ72" s="3">
        <f t="shared" si="57"/>
        <v>0</v>
      </c>
    </row>
    <row r="73" spans="1:80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80" s="19" customFormat="1" x14ac:dyDescent="0.2">
      <c r="B74" s="90" t="s">
        <v>178</v>
      </c>
      <c r="C74" s="91">
        <f>SUM(D74:BZ74)</f>
        <v>36687900</v>
      </c>
      <c r="D74" s="91">
        <f>ROUND(D70+D72,-2)</f>
        <v>0</v>
      </c>
      <c r="E74" s="91">
        <f t="shared" ref="E74:BN74" si="58">ROUND(E70+E72,-2)</f>
        <v>0</v>
      </c>
      <c r="F74" s="91">
        <f t="shared" si="58"/>
        <v>398800</v>
      </c>
      <c r="G74" s="91">
        <f t="shared" si="58"/>
        <v>626100</v>
      </c>
      <c r="H74" s="91">
        <f t="shared" si="58"/>
        <v>0</v>
      </c>
      <c r="I74" s="91">
        <f t="shared" si="58"/>
        <v>0</v>
      </c>
      <c r="J74" s="91">
        <f t="shared" si="58"/>
        <v>0</v>
      </c>
      <c r="K74" s="91">
        <f t="shared" si="58"/>
        <v>15400</v>
      </c>
      <c r="L74" s="91">
        <f t="shared" si="58"/>
        <v>0</v>
      </c>
      <c r="M74" s="91">
        <f t="shared" si="58"/>
        <v>298600</v>
      </c>
      <c r="N74" s="91">
        <f t="shared" si="58"/>
        <v>636700</v>
      </c>
      <c r="O74" s="91">
        <f t="shared" si="58"/>
        <v>0</v>
      </c>
      <c r="P74" s="91">
        <f t="shared" si="58"/>
        <v>0</v>
      </c>
      <c r="Q74" s="91">
        <f t="shared" si="58"/>
        <v>0</v>
      </c>
      <c r="R74" s="91">
        <f t="shared" si="58"/>
        <v>0</v>
      </c>
      <c r="S74" s="91">
        <f t="shared" si="58"/>
        <v>0</v>
      </c>
      <c r="T74" s="91">
        <f t="shared" si="58"/>
        <v>0</v>
      </c>
      <c r="U74" s="91">
        <f t="shared" si="58"/>
        <v>0</v>
      </c>
      <c r="V74" s="91">
        <f t="shared" si="58"/>
        <v>0</v>
      </c>
      <c r="W74" s="91">
        <f t="shared" si="58"/>
        <v>0</v>
      </c>
      <c r="X74" s="91">
        <f t="shared" si="58"/>
        <v>0</v>
      </c>
      <c r="Y74" s="91">
        <f t="shared" si="58"/>
        <v>0</v>
      </c>
      <c r="Z74" s="91">
        <f t="shared" si="58"/>
        <v>130400</v>
      </c>
      <c r="AA74" s="91">
        <f t="shared" si="58"/>
        <v>987500</v>
      </c>
      <c r="AB74" s="91">
        <f t="shared" si="58"/>
        <v>236800</v>
      </c>
      <c r="AC74" s="91">
        <f t="shared" si="58"/>
        <v>1446800</v>
      </c>
      <c r="AD74" s="91">
        <f t="shared" si="58"/>
        <v>266100</v>
      </c>
      <c r="AE74" s="91">
        <f t="shared" si="58"/>
        <v>0</v>
      </c>
      <c r="AF74" s="91">
        <f t="shared" si="58"/>
        <v>447500</v>
      </c>
      <c r="AG74" s="91">
        <f t="shared" si="58"/>
        <v>1032600</v>
      </c>
      <c r="AH74" s="91">
        <f t="shared" si="58"/>
        <v>0</v>
      </c>
      <c r="AI74" s="91">
        <f t="shared" si="58"/>
        <v>129400</v>
      </c>
      <c r="AJ74" s="91">
        <f t="shared" si="58"/>
        <v>348500</v>
      </c>
      <c r="AK74" s="91">
        <f t="shared" si="58"/>
        <v>0</v>
      </c>
      <c r="AL74" s="91">
        <f t="shared" si="58"/>
        <v>170500</v>
      </c>
      <c r="AM74" s="91">
        <f t="shared" si="58"/>
        <v>0</v>
      </c>
      <c r="AN74" s="91">
        <f t="shared" si="58"/>
        <v>2369200</v>
      </c>
      <c r="AO74" s="91">
        <f t="shared" si="58"/>
        <v>1066200</v>
      </c>
      <c r="AP74" s="91">
        <f t="shared" si="58"/>
        <v>1021500</v>
      </c>
      <c r="AQ74" s="91">
        <f t="shared" si="58"/>
        <v>0</v>
      </c>
      <c r="AR74" s="91">
        <f t="shared" si="58"/>
        <v>476500</v>
      </c>
      <c r="AS74" s="91">
        <f t="shared" si="58"/>
        <v>225900</v>
      </c>
      <c r="AT74" s="91">
        <f t="shared" si="58"/>
        <v>0</v>
      </c>
      <c r="AU74" s="91">
        <f t="shared" si="58"/>
        <v>299800</v>
      </c>
      <c r="AV74" s="91">
        <f t="shared" si="58"/>
        <v>192600</v>
      </c>
      <c r="AW74" s="91">
        <f t="shared" si="58"/>
        <v>0</v>
      </c>
      <c r="AX74" s="91">
        <f t="shared" si="58"/>
        <v>103200</v>
      </c>
      <c r="AY74" s="91">
        <f t="shared" si="58"/>
        <v>0</v>
      </c>
      <c r="AZ74" s="91">
        <f t="shared" si="58"/>
        <v>0</v>
      </c>
      <c r="BA74" s="91">
        <f t="shared" si="58"/>
        <v>0</v>
      </c>
      <c r="BB74" s="91">
        <f t="shared" si="58"/>
        <v>1522600</v>
      </c>
      <c r="BC74" s="91">
        <f t="shared" si="58"/>
        <v>2261000</v>
      </c>
      <c r="BD74" s="91">
        <f t="shared" si="58"/>
        <v>2355400</v>
      </c>
      <c r="BE74" s="91">
        <f t="shared" si="58"/>
        <v>1442400</v>
      </c>
      <c r="BF74" s="91">
        <f t="shared" si="58"/>
        <v>1205100</v>
      </c>
      <c r="BG74" s="91">
        <f t="shared" si="58"/>
        <v>0</v>
      </c>
      <c r="BH74" s="91">
        <f t="shared" ref="BH74" si="59">ROUND(BH70+BH72,-2)</f>
        <v>5015700</v>
      </c>
      <c r="BI74" s="91">
        <f t="shared" si="58"/>
        <v>620600</v>
      </c>
      <c r="BJ74" s="91">
        <f t="shared" si="58"/>
        <v>629200</v>
      </c>
      <c r="BK74" s="91">
        <f t="shared" si="58"/>
        <v>1927500</v>
      </c>
      <c r="BL74" s="91">
        <f t="shared" si="58"/>
        <v>2142800</v>
      </c>
      <c r="BM74" s="91">
        <f t="shared" si="58"/>
        <v>0</v>
      </c>
      <c r="BN74" s="91">
        <f t="shared" si="58"/>
        <v>0</v>
      </c>
      <c r="BO74" s="91">
        <f t="shared" ref="BO74:BZ74" si="60">ROUND(BO70+BO72,-2)</f>
        <v>0</v>
      </c>
      <c r="BP74" s="91">
        <f t="shared" si="60"/>
        <v>0</v>
      </c>
      <c r="BQ74" s="91">
        <f t="shared" si="60"/>
        <v>852000</v>
      </c>
      <c r="BR74" s="91">
        <f t="shared" si="60"/>
        <v>0</v>
      </c>
      <c r="BS74" s="91">
        <f t="shared" si="60"/>
        <v>0</v>
      </c>
      <c r="BT74" s="91">
        <f t="shared" si="60"/>
        <v>716500</v>
      </c>
      <c r="BU74" s="91">
        <f t="shared" si="60"/>
        <v>539900</v>
      </c>
      <c r="BV74" s="91">
        <f t="shared" si="60"/>
        <v>579400</v>
      </c>
      <c r="BW74" s="91">
        <f t="shared" si="60"/>
        <v>0</v>
      </c>
      <c r="BX74" s="91">
        <f t="shared" si="60"/>
        <v>105100</v>
      </c>
      <c r="BY74" s="91">
        <f t="shared" si="60"/>
        <v>1846100</v>
      </c>
      <c r="BZ74" s="91">
        <f t="shared" si="60"/>
        <v>0</v>
      </c>
    </row>
    <row r="75" spans="1:80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1:80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1:80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1:80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80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1:80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3:78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3:78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</row>
    <row r="86" spans="3:78" x14ac:dyDescent="0.2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</row>
    <row r="87" spans="3:78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3:78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</row>
    <row r="89" spans="3:78" x14ac:dyDescent="0.2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</row>
    <row r="90" spans="3:78" x14ac:dyDescent="0.2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</row>
    <row r="91" spans="3:78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3:78" x14ac:dyDescent="0.2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</row>
    <row r="93" spans="3:78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3:78" x14ac:dyDescent="0.2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</row>
    <row r="95" spans="3:78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3:78" x14ac:dyDescent="0.2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</row>
    <row r="97" spans="3:78" x14ac:dyDescent="0.2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</row>
    <row r="98" spans="3:78" x14ac:dyDescent="0.2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</row>
    <row r="99" spans="3:78" x14ac:dyDescent="0.2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</row>
    <row r="100" spans="3:78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3:78" x14ac:dyDescent="0.2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</row>
    <row r="102" spans="3:78" x14ac:dyDescent="0.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CB83"/>
  <sheetViews>
    <sheetView zoomScale="90" zoomScaleNormal="90" workbookViewId="0">
      <pane xSplit="3" ySplit="9" topLeftCell="BF31" activePane="bottomRight" state="frozen"/>
      <selection activeCell="B7" sqref="B7:E7"/>
      <selection pane="topRight" activeCell="B7" sqref="B7:E7"/>
      <selection pane="bottomLeft" activeCell="B7" sqref="B7:E7"/>
      <selection pane="bottomRight" activeCell="B7" sqref="B7:E7"/>
    </sheetView>
  </sheetViews>
  <sheetFormatPr baseColWidth="10" defaultRowHeight="12.75" x14ac:dyDescent="0.2"/>
  <cols>
    <col min="1" max="1" width="4" customWidth="1"/>
    <col min="2" max="2" width="61" bestFit="1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194</v>
      </c>
    </row>
    <row r="2" spans="1:80" x14ac:dyDescent="0.2">
      <c r="A2" t="s">
        <v>195</v>
      </c>
    </row>
    <row r="5" spans="1:80" ht="26.25" x14ac:dyDescent="0.4">
      <c r="A5" s="16" t="s">
        <v>235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233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3">
        <f>'Ressourcenausgleich Basis'!C124</f>
        <v>525967</v>
      </c>
      <c r="D12" s="43">
        <f>'Ressourcenausgleich Basis'!D124</f>
        <v>76931</v>
      </c>
      <c r="E12" s="43">
        <f>'Ressourcenausgleich Basis'!E124</f>
        <v>9914</v>
      </c>
      <c r="F12" s="43">
        <f>'Ressourcenausgleich Basis'!F124</f>
        <v>1393</v>
      </c>
      <c r="G12" s="43">
        <f>'Ressourcenausgleich Basis'!G124</f>
        <v>1253</v>
      </c>
      <c r="H12" s="43">
        <f>'Ressourcenausgleich Basis'!H124</f>
        <v>3619</v>
      </c>
      <c r="I12" s="43">
        <f>'Ressourcenausgleich Basis'!I124</f>
        <v>9562</v>
      </c>
      <c r="J12" s="43">
        <f>'Ressourcenausgleich Basis'!J124</f>
        <v>3583</v>
      </c>
      <c r="K12" s="43">
        <f>'Ressourcenausgleich Basis'!K124</f>
        <v>988</v>
      </c>
      <c r="L12" s="43">
        <f>'Ressourcenausgleich Basis'!L124</f>
        <v>1587</v>
      </c>
      <c r="M12" s="43">
        <f>'Ressourcenausgleich Basis'!M124</f>
        <v>1026</v>
      </c>
      <c r="N12" s="43">
        <f>'Ressourcenausgleich Basis'!N124</f>
        <v>2364</v>
      </c>
      <c r="O12" s="43">
        <f>'Ressourcenausgleich Basis'!O124</f>
        <v>7620</v>
      </c>
      <c r="P12" s="43">
        <f>'Ressourcenausgleich Basis'!P124</f>
        <v>9777</v>
      </c>
      <c r="Q12" s="43">
        <f>'Ressourcenausgleich Basis'!Q124</f>
        <v>6914</v>
      </c>
      <c r="R12" s="43">
        <f>'Ressourcenausgleich Basis'!R124</f>
        <v>3481</v>
      </c>
      <c r="S12" s="43">
        <f>'Ressourcenausgleich Basis'!S124</f>
        <v>6249</v>
      </c>
      <c r="T12" s="43">
        <f>'Ressourcenausgleich Basis'!T124</f>
        <v>8252</v>
      </c>
      <c r="U12" s="43">
        <f>'Ressourcenausgleich Basis'!U124</f>
        <v>3963</v>
      </c>
      <c r="V12" s="43">
        <f>'Ressourcenausgleich Basis'!V124</f>
        <v>5067</v>
      </c>
      <c r="W12" s="43">
        <f>'Ressourcenausgleich Basis'!W124</f>
        <v>6889</v>
      </c>
      <c r="X12" s="43">
        <f>'Ressourcenausgleich Basis'!X124</f>
        <v>10178</v>
      </c>
      <c r="Y12" s="43">
        <f>'Ressourcenausgleich Basis'!Y124</f>
        <v>4906</v>
      </c>
      <c r="Z12" s="43">
        <f>'Ressourcenausgleich Basis'!Z124</f>
        <v>2137</v>
      </c>
      <c r="AA12" s="43">
        <f>'Ressourcenausgleich Basis'!AA124</f>
        <v>12278</v>
      </c>
      <c r="AB12" s="43">
        <f>'Ressourcenausgleich Basis'!AB124</f>
        <v>1556</v>
      </c>
      <c r="AC12" s="43">
        <f>'Ressourcenausgleich Basis'!AC124</f>
        <v>9180</v>
      </c>
      <c r="AD12" s="43">
        <f>'Ressourcenausgleich Basis'!AD124</f>
        <v>2472</v>
      </c>
      <c r="AE12" s="43">
        <f>'Ressourcenausgleich Basis'!AE124</f>
        <v>6101</v>
      </c>
      <c r="AF12" s="43">
        <f>'Ressourcenausgleich Basis'!AF124</f>
        <v>3606</v>
      </c>
      <c r="AG12" s="43">
        <f>'Ressourcenausgleich Basis'!AG124</f>
        <v>7302</v>
      </c>
      <c r="AH12" s="43">
        <f>'Ressourcenausgleich Basis'!AH124</f>
        <v>13605</v>
      </c>
      <c r="AI12" s="43">
        <f>'Ressourcenausgleich Basis'!AI124</f>
        <v>5279</v>
      </c>
      <c r="AJ12" s="43">
        <f>'Ressourcenausgleich Basis'!AJ124</f>
        <v>5395</v>
      </c>
      <c r="AK12" s="43">
        <f>'Ressourcenausgleich Basis'!AK124</f>
        <v>6443</v>
      </c>
      <c r="AL12" s="43">
        <f>'Ressourcenausgleich Basis'!AL124</f>
        <v>5015</v>
      </c>
      <c r="AM12" s="43">
        <f>'Ressourcenausgleich Basis'!AM124</f>
        <v>6663</v>
      </c>
      <c r="AN12" s="43">
        <f>'Ressourcenausgleich Basis'!AN124</f>
        <v>1563</v>
      </c>
      <c r="AO12" s="43">
        <f>'Ressourcenausgleich Basis'!AO124</f>
        <v>9311</v>
      </c>
      <c r="AP12" s="43">
        <f>'Ressourcenausgleich Basis'!AP124</f>
        <v>5211</v>
      </c>
      <c r="AQ12" s="43">
        <f>'Ressourcenausgleich Basis'!AQ124</f>
        <v>5763</v>
      </c>
      <c r="AR12" s="43">
        <f>'Ressourcenausgleich Basis'!AR124</f>
        <v>3000</v>
      </c>
      <c r="AS12" s="43">
        <f>'Ressourcenausgleich Basis'!AS124</f>
        <v>1847</v>
      </c>
      <c r="AT12" s="43">
        <f>'Ressourcenausgleich Basis'!AT124</f>
        <v>1845</v>
      </c>
      <c r="AU12" s="43">
        <f>'Ressourcenausgleich Basis'!AU124</f>
        <v>4021</v>
      </c>
      <c r="AV12" s="43">
        <f>'Ressourcenausgleich Basis'!AV124</f>
        <v>3018</v>
      </c>
      <c r="AW12" s="43">
        <f>'Ressourcenausgleich Basis'!AW124</f>
        <v>5051</v>
      </c>
      <c r="AX12" s="43">
        <f>'Ressourcenausgleich Basis'!AX124</f>
        <v>5564</v>
      </c>
      <c r="AY12" s="43">
        <f>'Ressourcenausgleich Basis'!AY124</f>
        <v>6850</v>
      </c>
      <c r="AZ12" s="43">
        <f>'Ressourcenausgleich Basis'!AZ124</f>
        <v>4110</v>
      </c>
      <c r="BA12" s="43">
        <f>'Ressourcenausgleich Basis'!BA124</f>
        <v>28252</v>
      </c>
      <c r="BB12" s="43">
        <f>'Ressourcenausgleich Basis'!BB124</f>
        <v>9996</v>
      </c>
      <c r="BC12" s="43">
        <f>'Ressourcenausgleich Basis'!BC124</f>
        <v>2612</v>
      </c>
      <c r="BD12" s="43">
        <f>'Ressourcenausgleich Basis'!BD124</f>
        <v>3733</v>
      </c>
      <c r="BE12" s="43">
        <f>'Ressourcenausgleich Basis'!BE124</f>
        <v>4979</v>
      </c>
      <c r="BF12" s="43">
        <f>'Ressourcenausgleich Basis'!BF124</f>
        <v>8954</v>
      </c>
      <c r="BG12" s="43">
        <f>'Ressourcenausgleich Basis'!BG124</f>
        <v>1980</v>
      </c>
      <c r="BH12" s="43">
        <f>'Ressourcenausgleich Basis'!BH124</f>
        <v>6324</v>
      </c>
      <c r="BI12" s="43">
        <f>'Ressourcenausgleich Basis'!BI124</f>
        <v>5163</v>
      </c>
      <c r="BJ12" s="43">
        <f>'Ressourcenausgleich Basis'!BJ124</f>
        <v>1619</v>
      </c>
      <c r="BK12" s="43">
        <f>'Ressourcenausgleich Basis'!BK124</f>
        <v>2920</v>
      </c>
      <c r="BL12" s="43">
        <f>'Ressourcenausgleich Basis'!BL124</f>
        <v>9632</v>
      </c>
      <c r="BM12" s="43">
        <f>'Ressourcenausgleich Basis'!BM124</f>
        <v>3961</v>
      </c>
      <c r="BN12" s="43">
        <f>'Ressourcenausgleich Basis'!BN124</f>
        <v>6536</v>
      </c>
      <c r="BO12" s="43">
        <f>'Ressourcenausgleich Basis'!BO124</f>
        <v>13831</v>
      </c>
      <c r="BP12" s="43">
        <f>'Ressourcenausgleich Basis'!BP124</f>
        <v>10446</v>
      </c>
      <c r="BQ12" s="43">
        <f>'Ressourcenausgleich Basis'!BQ124</f>
        <v>4081</v>
      </c>
      <c r="BR12" s="43">
        <f>'Ressourcenausgleich Basis'!BR124</f>
        <v>24541</v>
      </c>
      <c r="BS12" s="43">
        <f>'Ressourcenausgleich Basis'!BS124</f>
        <v>4997</v>
      </c>
      <c r="BT12" s="43">
        <f>'Ressourcenausgleich Basis'!BT124</f>
        <v>4588</v>
      </c>
      <c r="BU12" s="43">
        <f>'Ressourcenausgleich Basis'!BU124</f>
        <v>1527</v>
      </c>
      <c r="BV12" s="43">
        <f>'Ressourcenausgleich Basis'!BV124</f>
        <v>3201</v>
      </c>
      <c r="BW12" s="43">
        <f>'Ressourcenausgleich Basis'!BW124</f>
        <v>18226</v>
      </c>
      <c r="BX12" s="43">
        <f>'Ressourcenausgleich Basis'!BX124</f>
        <v>2115</v>
      </c>
      <c r="BY12" s="43">
        <f>'Ressourcenausgleich Basis'!BY124</f>
        <v>3528</v>
      </c>
      <c r="BZ12" s="43">
        <f>'Ressourcenausgleich Basis'!BZ124</f>
        <v>8523</v>
      </c>
    </row>
    <row r="13" spans="1:80" s="19" customFormat="1" x14ac:dyDescent="0.2">
      <c r="A13"/>
      <c r="B13" s="28"/>
    </row>
    <row r="14" spans="1:80" x14ac:dyDescent="0.2">
      <c r="B14" t="s">
        <v>236</v>
      </c>
      <c r="C14" s="35">
        <f>SUM(D14:BZ14)</f>
        <v>59299</v>
      </c>
      <c r="D14" s="36">
        <v>7501</v>
      </c>
      <c r="E14" s="36">
        <v>1131</v>
      </c>
      <c r="F14" s="36">
        <v>203</v>
      </c>
      <c r="G14" s="36">
        <v>165</v>
      </c>
      <c r="H14" s="120">
        <v>430</v>
      </c>
      <c r="I14" s="36">
        <v>1020</v>
      </c>
      <c r="J14" s="36">
        <v>368</v>
      </c>
      <c r="K14" s="36">
        <v>110</v>
      </c>
      <c r="L14" s="36">
        <v>226</v>
      </c>
      <c r="M14" s="36">
        <v>138</v>
      </c>
      <c r="N14" s="36">
        <v>318</v>
      </c>
      <c r="O14" s="36">
        <v>730</v>
      </c>
      <c r="P14" s="36">
        <v>946</v>
      </c>
      <c r="Q14" s="36">
        <v>713</v>
      </c>
      <c r="R14" s="36">
        <v>303</v>
      </c>
      <c r="S14" s="36">
        <v>728</v>
      </c>
      <c r="T14" s="36">
        <v>873</v>
      </c>
      <c r="U14" s="36">
        <v>462</v>
      </c>
      <c r="V14" s="36">
        <v>564</v>
      </c>
      <c r="W14" s="36">
        <v>805</v>
      </c>
      <c r="X14" s="36">
        <v>1184</v>
      </c>
      <c r="Y14" s="36">
        <v>497</v>
      </c>
      <c r="Z14" s="36">
        <v>226</v>
      </c>
      <c r="AA14" s="36">
        <v>1335</v>
      </c>
      <c r="AB14" s="36">
        <v>189</v>
      </c>
      <c r="AC14" s="36">
        <v>1125</v>
      </c>
      <c r="AD14" s="36">
        <v>327</v>
      </c>
      <c r="AE14" s="36">
        <v>605</v>
      </c>
      <c r="AF14" s="36">
        <v>477</v>
      </c>
      <c r="AG14" s="36">
        <v>881</v>
      </c>
      <c r="AH14" s="36">
        <v>1548</v>
      </c>
      <c r="AI14" s="36">
        <v>670</v>
      </c>
      <c r="AJ14" s="120">
        <v>699</v>
      </c>
      <c r="AK14" s="36">
        <v>755</v>
      </c>
      <c r="AL14" s="36">
        <v>572</v>
      </c>
      <c r="AM14" s="36">
        <v>658</v>
      </c>
      <c r="AN14" s="36">
        <v>179</v>
      </c>
      <c r="AO14" s="36">
        <v>1115</v>
      </c>
      <c r="AP14" s="36">
        <v>626</v>
      </c>
      <c r="AQ14" s="36">
        <v>677</v>
      </c>
      <c r="AR14" s="36">
        <v>305</v>
      </c>
      <c r="AS14" s="36">
        <v>177</v>
      </c>
      <c r="AT14" s="36">
        <v>184</v>
      </c>
      <c r="AU14" s="120">
        <v>552</v>
      </c>
      <c r="AV14" s="36">
        <v>405</v>
      </c>
      <c r="AW14" s="36">
        <v>607</v>
      </c>
      <c r="AX14" s="36">
        <v>565</v>
      </c>
      <c r="AY14" s="36">
        <v>836</v>
      </c>
      <c r="AZ14" s="36">
        <v>446</v>
      </c>
      <c r="BA14" s="120">
        <v>2902</v>
      </c>
      <c r="BB14" s="36">
        <v>1209</v>
      </c>
      <c r="BC14" s="36">
        <v>317</v>
      </c>
      <c r="BD14" s="36">
        <v>406</v>
      </c>
      <c r="BE14" s="36">
        <v>565</v>
      </c>
      <c r="BF14" s="120">
        <v>979</v>
      </c>
      <c r="BG14" s="36">
        <v>184</v>
      </c>
      <c r="BH14" s="36">
        <v>828</v>
      </c>
      <c r="BI14" s="36">
        <v>635</v>
      </c>
      <c r="BJ14" s="36">
        <v>226</v>
      </c>
      <c r="BK14" s="36">
        <v>440</v>
      </c>
      <c r="BL14" s="36">
        <v>1286</v>
      </c>
      <c r="BM14" s="36">
        <v>526</v>
      </c>
      <c r="BN14" s="36">
        <v>818</v>
      </c>
      <c r="BO14" s="120">
        <v>1685</v>
      </c>
      <c r="BP14" s="36">
        <v>1250</v>
      </c>
      <c r="BQ14" s="36">
        <v>560</v>
      </c>
      <c r="BR14" s="36">
        <v>2647</v>
      </c>
      <c r="BS14" s="36">
        <v>571</v>
      </c>
      <c r="BT14" s="36">
        <v>547</v>
      </c>
      <c r="BU14" s="36">
        <v>235</v>
      </c>
      <c r="BV14" s="36">
        <v>470</v>
      </c>
      <c r="BW14" s="36">
        <v>2016</v>
      </c>
      <c r="BX14" s="36">
        <v>288</v>
      </c>
      <c r="BY14" s="36">
        <v>548</v>
      </c>
      <c r="BZ14" s="36">
        <v>1005</v>
      </c>
      <c r="CB14" t="s">
        <v>120</v>
      </c>
    </row>
    <row r="15" spans="1:80" x14ac:dyDescent="0.2">
      <c r="B15" t="s">
        <v>237</v>
      </c>
      <c r="C15" s="35">
        <f>SUM(D15:BZ15)</f>
        <v>1550</v>
      </c>
      <c r="D15" s="36">
        <v>239</v>
      </c>
      <c r="E15" s="36">
        <v>38</v>
      </c>
      <c r="F15" s="36">
        <v>1</v>
      </c>
      <c r="G15" s="36">
        <v>4</v>
      </c>
      <c r="H15" s="36">
        <v>8</v>
      </c>
      <c r="I15" s="36">
        <v>36</v>
      </c>
      <c r="J15" s="36">
        <v>9</v>
      </c>
      <c r="K15" s="36">
        <v>2</v>
      </c>
      <c r="L15" s="36">
        <v>3</v>
      </c>
      <c r="M15" s="36">
        <v>4</v>
      </c>
      <c r="N15" s="36">
        <v>13</v>
      </c>
      <c r="O15" s="120">
        <v>30</v>
      </c>
      <c r="P15" s="36">
        <v>49</v>
      </c>
      <c r="Q15" s="36">
        <v>19</v>
      </c>
      <c r="R15" s="36">
        <v>11</v>
      </c>
      <c r="S15" s="36">
        <v>14</v>
      </c>
      <c r="T15" s="36">
        <v>24</v>
      </c>
      <c r="U15" s="36">
        <v>8</v>
      </c>
      <c r="V15" s="36">
        <v>13</v>
      </c>
      <c r="W15" s="36">
        <v>13</v>
      </c>
      <c r="X15" s="36">
        <v>37</v>
      </c>
      <c r="Y15" s="36">
        <v>20</v>
      </c>
      <c r="Z15" s="36">
        <v>3</v>
      </c>
      <c r="AA15" s="36">
        <v>36</v>
      </c>
      <c r="AB15" s="36">
        <v>3</v>
      </c>
      <c r="AC15" s="36">
        <v>26</v>
      </c>
      <c r="AD15" s="36">
        <v>4</v>
      </c>
      <c r="AE15" s="36">
        <v>12</v>
      </c>
      <c r="AF15" s="36">
        <v>5</v>
      </c>
      <c r="AG15" s="36">
        <v>19</v>
      </c>
      <c r="AH15" s="36">
        <v>37</v>
      </c>
      <c r="AI15" s="36">
        <v>14</v>
      </c>
      <c r="AJ15" s="36">
        <v>14</v>
      </c>
      <c r="AK15" s="36">
        <v>17</v>
      </c>
      <c r="AL15" s="36">
        <v>11</v>
      </c>
      <c r="AM15" s="36">
        <v>16</v>
      </c>
      <c r="AN15" s="36">
        <v>2</v>
      </c>
      <c r="AO15" s="36">
        <v>26</v>
      </c>
      <c r="AP15" s="36">
        <v>17</v>
      </c>
      <c r="AQ15" s="36">
        <v>12</v>
      </c>
      <c r="AR15" s="36">
        <v>4</v>
      </c>
      <c r="AS15" s="36">
        <v>2</v>
      </c>
      <c r="AT15" s="36">
        <v>1</v>
      </c>
      <c r="AU15" s="36">
        <v>17</v>
      </c>
      <c r="AV15" s="36">
        <v>11</v>
      </c>
      <c r="AW15" s="36">
        <v>11</v>
      </c>
      <c r="AX15" s="36">
        <v>9</v>
      </c>
      <c r="AY15" s="36">
        <v>28</v>
      </c>
      <c r="AZ15" s="36">
        <v>14</v>
      </c>
      <c r="BA15" s="36">
        <v>54</v>
      </c>
      <c r="BB15" s="36">
        <v>25</v>
      </c>
      <c r="BC15" s="36">
        <v>2</v>
      </c>
      <c r="BD15" s="36">
        <v>12</v>
      </c>
      <c r="BE15" s="36">
        <v>24</v>
      </c>
      <c r="BF15" s="36">
        <v>43</v>
      </c>
      <c r="BG15" s="36">
        <v>9</v>
      </c>
      <c r="BH15" s="36">
        <v>21</v>
      </c>
      <c r="BI15" s="36">
        <v>13</v>
      </c>
      <c r="BJ15" s="36">
        <v>10</v>
      </c>
      <c r="BK15" s="36">
        <v>8</v>
      </c>
      <c r="BL15" s="36">
        <v>34</v>
      </c>
      <c r="BM15" s="36">
        <v>5</v>
      </c>
      <c r="BN15" s="36">
        <v>26</v>
      </c>
      <c r="BO15" s="36">
        <v>47</v>
      </c>
      <c r="BP15" s="36">
        <v>39</v>
      </c>
      <c r="BQ15" s="36">
        <v>13</v>
      </c>
      <c r="BR15" s="36">
        <v>87</v>
      </c>
      <c r="BS15" s="36">
        <v>13</v>
      </c>
      <c r="BT15" s="36">
        <v>10</v>
      </c>
      <c r="BU15" s="36">
        <v>4</v>
      </c>
      <c r="BV15" s="36">
        <v>5</v>
      </c>
      <c r="BW15" s="36">
        <v>45</v>
      </c>
      <c r="BX15" s="36">
        <v>4</v>
      </c>
      <c r="BY15" s="36">
        <v>4</v>
      </c>
      <c r="BZ15" s="36">
        <v>27</v>
      </c>
      <c r="CB15" t="s">
        <v>120</v>
      </c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x14ac:dyDescent="0.2">
      <c r="B17" t="s">
        <v>215</v>
      </c>
      <c r="C17" s="3">
        <f>SUM(D17:BZ17)</f>
        <v>6141355.4799999995</v>
      </c>
      <c r="D17" s="10">
        <v>23515.599999999999</v>
      </c>
      <c r="E17" s="10">
        <v>28855.3</v>
      </c>
      <c r="F17" s="10">
        <v>49757.8</v>
      </c>
      <c r="G17" s="10">
        <v>30587.55</v>
      </c>
      <c r="H17" s="10">
        <v>0</v>
      </c>
      <c r="I17" s="10">
        <v>180954.95</v>
      </c>
      <c r="J17" s="10">
        <v>83038</v>
      </c>
      <c r="K17" s="10">
        <v>66621.55</v>
      </c>
      <c r="L17" s="10">
        <v>27761.65</v>
      </c>
      <c r="M17" s="10">
        <v>44654.1</v>
      </c>
      <c r="N17" s="10">
        <v>79821.95</v>
      </c>
      <c r="O17" s="10">
        <v>252379.05</v>
      </c>
      <c r="P17" s="10">
        <v>250869.25</v>
      </c>
      <c r="Q17" s="10">
        <v>74397.14</v>
      </c>
      <c r="R17" s="10">
        <v>97330.55</v>
      </c>
      <c r="S17" s="10">
        <v>155151.75</v>
      </c>
      <c r="T17" s="10">
        <v>0</v>
      </c>
      <c r="U17" s="10">
        <v>139226.06</v>
      </c>
      <c r="V17" s="10">
        <v>0</v>
      </c>
      <c r="W17" s="10">
        <v>234441.95</v>
      </c>
      <c r="X17" s="10">
        <v>312272.53999999998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21747.1</v>
      </c>
      <c r="AE17" s="10">
        <v>145846.85</v>
      </c>
      <c r="AF17" s="10">
        <v>119474.57</v>
      </c>
      <c r="AG17" s="10">
        <v>64798.75</v>
      </c>
      <c r="AH17" s="10">
        <v>116542.8</v>
      </c>
      <c r="AI17" s="10">
        <v>123277</v>
      </c>
      <c r="AJ17" s="10">
        <v>116370.55</v>
      </c>
      <c r="AK17" s="10">
        <v>120896.85</v>
      </c>
      <c r="AL17" s="10">
        <v>113547.9</v>
      </c>
      <c r="AM17" s="10">
        <v>140337.25</v>
      </c>
      <c r="AN17" s="10">
        <v>39310.300000000003</v>
      </c>
      <c r="AO17" s="10">
        <v>164994.76</v>
      </c>
      <c r="AP17" s="10">
        <v>132891.54999999999</v>
      </c>
      <c r="AQ17" s="10">
        <v>27942.7</v>
      </c>
      <c r="AR17" s="10">
        <v>127973.25</v>
      </c>
      <c r="AS17" s="10">
        <v>0</v>
      </c>
      <c r="AT17" s="10">
        <v>0</v>
      </c>
      <c r="AU17" s="10">
        <v>0</v>
      </c>
      <c r="AV17" s="10">
        <v>71481.8</v>
      </c>
      <c r="AW17" s="10">
        <v>8319.4500000000007</v>
      </c>
      <c r="AX17" s="10">
        <v>0</v>
      </c>
      <c r="AY17" s="10">
        <v>0</v>
      </c>
      <c r="AZ17" s="10">
        <v>0</v>
      </c>
      <c r="BA17" s="10">
        <v>99643.6</v>
      </c>
      <c r="BB17" s="10">
        <v>38623.800000000003</v>
      </c>
      <c r="BC17" s="10">
        <v>41700.78</v>
      </c>
      <c r="BD17" s="10">
        <v>31029.08</v>
      </c>
      <c r="BE17" s="10">
        <v>128485.1</v>
      </c>
      <c r="BF17" s="10">
        <v>0</v>
      </c>
      <c r="BG17" s="10">
        <v>59510.05</v>
      </c>
      <c r="BH17" s="10">
        <v>0</v>
      </c>
      <c r="BI17" s="10">
        <v>145229.29999999999</v>
      </c>
      <c r="BJ17" s="10">
        <v>0</v>
      </c>
      <c r="BK17" s="10">
        <v>170166.3</v>
      </c>
      <c r="BL17" s="10">
        <v>166036.57</v>
      </c>
      <c r="BM17" s="10">
        <v>104102.95</v>
      </c>
      <c r="BN17" s="10">
        <v>70770.399999999994</v>
      </c>
      <c r="BO17" s="10">
        <v>47502.84</v>
      </c>
      <c r="BP17" s="10">
        <v>276390.15999999997</v>
      </c>
      <c r="BQ17" s="10">
        <v>84680.55</v>
      </c>
      <c r="BR17" s="10">
        <v>40228.550000000003</v>
      </c>
      <c r="BS17" s="10">
        <v>89715.65</v>
      </c>
      <c r="BT17" s="10">
        <v>0</v>
      </c>
      <c r="BU17" s="10">
        <v>0</v>
      </c>
      <c r="BV17" s="10">
        <v>31882.33</v>
      </c>
      <c r="BW17" s="10">
        <v>311993.38</v>
      </c>
      <c r="BX17" s="10">
        <v>0</v>
      </c>
      <c r="BY17" s="10">
        <v>179196.67</v>
      </c>
      <c r="BZ17" s="10">
        <v>237077.25</v>
      </c>
      <c r="CB17" t="s">
        <v>119</v>
      </c>
    </row>
    <row r="18" spans="1:80" x14ac:dyDescent="0.2">
      <c r="B18" t="s">
        <v>214</v>
      </c>
      <c r="C18" s="3">
        <f>SUM(D18:BZ18)</f>
        <v>1147748320.9500003</v>
      </c>
      <c r="D18" s="10">
        <v>157669256.33000001</v>
      </c>
      <c r="E18" s="10">
        <v>21391599.309999999</v>
      </c>
      <c r="F18" s="10">
        <v>4153860.1</v>
      </c>
      <c r="G18" s="10">
        <v>3195341.59</v>
      </c>
      <c r="H18" s="10">
        <v>8837920.4600000009</v>
      </c>
      <c r="I18" s="10">
        <v>18685264.739999998</v>
      </c>
      <c r="J18" s="10">
        <v>7639826.5300000003</v>
      </c>
      <c r="K18" s="10">
        <v>2546146.91</v>
      </c>
      <c r="L18" s="10">
        <v>3494893.85</v>
      </c>
      <c r="M18" s="10">
        <v>2846408.69</v>
      </c>
      <c r="N18" s="10">
        <v>5863798.1799999997</v>
      </c>
      <c r="O18" s="10">
        <v>14896835.23</v>
      </c>
      <c r="P18" s="10">
        <v>20470360.649999999</v>
      </c>
      <c r="Q18" s="10">
        <v>13989063.109999999</v>
      </c>
      <c r="R18" s="10">
        <v>6129774.4400000004</v>
      </c>
      <c r="S18" s="10">
        <v>12429951.66</v>
      </c>
      <c r="T18" s="10">
        <v>17606392.010000002</v>
      </c>
      <c r="U18" s="10">
        <v>8301131.3499999996</v>
      </c>
      <c r="V18" s="10">
        <v>9767538.9900000002</v>
      </c>
      <c r="W18" s="10">
        <v>13819213.710000001</v>
      </c>
      <c r="X18" s="10">
        <v>18982395.52</v>
      </c>
      <c r="Y18" s="10">
        <v>9989683.3300000001</v>
      </c>
      <c r="Z18" s="10">
        <v>4578158.79</v>
      </c>
      <c r="AA18" s="10">
        <v>25878239.899999999</v>
      </c>
      <c r="AB18" s="10">
        <v>3693984.58</v>
      </c>
      <c r="AC18" s="10">
        <v>21853721.379999999</v>
      </c>
      <c r="AD18" s="10">
        <v>5955884.4800000004</v>
      </c>
      <c r="AE18" s="10">
        <v>11525103.34</v>
      </c>
      <c r="AF18" s="10">
        <v>8459249.3900000006</v>
      </c>
      <c r="AG18" s="10">
        <v>16430221.66</v>
      </c>
      <c r="AH18" s="10">
        <v>28553991.510000002</v>
      </c>
      <c r="AI18" s="10">
        <v>12114707.189999999</v>
      </c>
      <c r="AJ18" s="10">
        <v>12542707.6</v>
      </c>
      <c r="AK18" s="10">
        <v>13373115.369999999</v>
      </c>
      <c r="AL18" s="10">
        <v>11512987.16</v>
      </c>
      <c r="AM18" s="10">
        <v>12199777.800000001</v>
      </c>
      <c r="AN18" s="10">
        <v>4721224.08</v>
      </c>
      <c r="AO18" s="10">
        <v>19294581.280000001</v>
      </c>
      <c r="AP18" s="10">
        <v>11113877.029999999</v>
      </c>
      <c r="AQ18" s="10">
        <v>11674105.59</v>
      </c>
      <c r="AR18" s="10">
        <v>5381061.79</v>
      </c>
      <c r="AS18" s="10">
        <v>3881208.35</v>
      </c>
      <c r="AT18" s="10">
        <v>3607860.35</v>
      </c>
      <c r="AU18" s="10">
        <v>8496791.8900000006</v>
      </c>
      <c r="AV18" s="10">
        <v>7527455.25</v>
      </c>
      <c r="AW18" s="10">
        <v>10753470.84</v>
      </c>
      <c r="AX18" s="10">
        <v>12359741</v>
      </c>
      <c r="AY18" s="10">
        <v>15155443.77</v>
      </c>
      <c r="AZ18" s="10">
        <v>9234068.4600000009</v>
      </c>
      <c r="BA18" s="10">
        <v>60372461.840000004</v>
      </c>
      <c r="BB18" s="10">
        <v>22932446.699999999</v>
      </c>
      <c r="BC18" s="10">
        <v>6097708.8200000003</v>
      </c>
      <c r="BD18" s="10">
        <v>7612496.9400000004</v>
      </c>
      <c r="BE18" s="10">
        <v>12690293.460000001</v>
      </c>
      <c r="BF18" s="10">
        <v>17679105.539999999</v>
      </c>
      <c r="BG18" s="10">
        <v>3598633.54</v>
      </c>
      <c r="BH18" s="10">
        <v>17956114.359999999</v>
      </c>
      <c r="BI18" s="10">
        <v>12043015.539999999</v>
      </c>
      <c r="BJ18" s="10">
        <v>4866141.8899999997</v>
      </c>
      <c r="BK18" s="10">
        <v>8299629.9199999999</v>
      </c>
      <c r="BL18" s="10">
        <v>25991264.649999999</v>
      </c>
      <c r="BM18" s="10">
        <v>10668368.380000001</v>
      </c>
      <c r="BN18" s="10">
        <v>16652035.17</v>
      </c>
      <c r="BO18" s="10">
        <v>28810874.940000001</v>
      </c>
      <c r="BP18" s="10">
        <v>25415509.140000001</v>
      </c>
      <c r="BQ18" s="10">
        <v>9507967.7400000002</v>
      </c>
      <c r="BR18" s="10">
        <v>52543650.670000002</v>
      </c>
      <c r="BS18" s="10">
        <v>11342944.76</v>
      </c>
      <c r="BT18" s="10">
        <v>11593925.609999999</v>
      </c>
      <c r="BU18" s="10">
        <v>4467355.83</v>
      </c>
      <c r="BV18" s="10">
        <v>8389344.7200000007</v>
      </c>
      <c r="BW18" s="10">
        <v>38166921.060000002</v>
      </c>
      <c r="BX18" s="10">
        <v>5283728.1500000004</v>
      </c>
      <c r="BY18" s="10">
        <v>9792835.9199999999</v>
      </c>
      <c r="BZ18" s="10">
        <v>20394149.140000001</v>
      </c>
      <c r="CB18" t="s">
        <v>119</v>
      </c>
    </row>
    <row r="19" spans="1:80" x14ac:dyDescent="0.2">
      <c r="B19" t="s">
        <v>216</v>
      </c>
      <c r="C19" s="3">
        <f>SUM(D19:BZ19)</f>
        <v>3841561.859999998</v>
      </c>
      <c r="D19" s="10">
        <v>1592529.42</v>
      </c>
      <c r="E19" s="10">
        <v>37820.300000000003</v>
      </c>
      <c r="F19" s="10">
        <v>6879.25</v>
      </c>
      <c r="G19" s="10">
        <v>4657.95</v>
      </c>
      <c r="H19" s="10">
        <v>0</v>
      </c>
      <c r="I19" s="10">
        <v>67087.149999999994</v>
      </c>
      <c r="J19" s="10">
        <v>9571.2000000000007</v>
      </c>
      <c r="K19" s="10">
        <v>3531.2</v>
      </c>
      <c r="L19" s="10">
        <v>11013</v>
      </c>
      <c r="M19" s="10">
        <v>5410</v>
      </c>
      <c r="N19" s="10">
        <v>12631.95</v>
      </c>
      <c r="O19" s="10">
        <v>26454.7</v>
      </c>
      <c r="P19" s="10">
        <v>32116.799999999999</v>
      </c>
      <c r="Q19" s="10">
        <v>30980.74</v>
      </c>
      <c r="R19" s="10">
        <v>15744.75</v>
      </c>
      <c r="S19" s="10">
        <v>24986.7</v>
      </c>
      <c r="T19" s="10">
        <v>0</v>
      </c>
      <c r="U19" s="10">
        <v>12398</v>
      </c>
      <c r="V19" s="10">
        <v>0</v>
      </c>
      <c r="W19" s="10">
        <v>31991.4</v>
      </c>
      <c r="X19" s="10">
        <v>50280.67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8794.4</v>
      </c>
      <c r="AE19" s="10">
        <v>28058.93</v>
      </c>
      <c r="AF19" s="10">
        <v>20199.3</v>
      </c>
      <c r="AG19" s="10">
        <v>46040.03</v>
      </c>
      <c r="AH19" s="10">
        <v>82527.199999999997</v>
      </c>
      <c r="AI19" s="10">
        <v>26036.75</v>
      </c>
      <c r="AJ19" s="10">
        <v>36665.800000000003</v>
      </c>
      <c r="AK19" s="10">
        <v>33385.699999999997</v>
      </c>
      <c r="AL19" s="10">
        <v>36439.800000000003</v>
      </c>
      <c r="AM19" s="10">
        <v>38506.300000000003</v>
      </c>
      <c r="AN19" s="10">
        <v>5220.95</v>
      </c>
      <c r="AO19" s="10">
        <v>44535.75</v>
      </c>
      <c r="AP19" s="10">
        <v>33218.75</v>
      </c>
      <c r="AQ19" s="10">
        <v>37075.15</v>
      </c>
      <c r="AR19" s="10">
        <v>16806.5</v>
      </c>
      <c r="AS19" s="10">
        <v>0</v>
      </c>
      <c r="AT19" s="10">
        <v>0</v>
      </c>
      <c r="AU19" s="10">
        <v>39243.15</v>
      </c>
      <c r="AV19" s="10">
        <v>17150.150000000001</v>
      </c>
      <c r="AW19" s="10">
        <v>33190.1</v>
      </c>
      <c r="AX19" s="10">
        <v>20924.5</v>
      </c>
      <c r="AY19" s="10">
        <v>42797.37</v>
      </c>
      <c r="AZ19" s="10">
        <v>31805.3</v>
      </c>
      <c r="BA19" s="10">
        <v>219088.78</v>
      </c>
      <c r="BB19" s="10">
        <v>67104.600000000006</v>
      </c>
      <c r="BC19" s="10">
        <v>16647.150000000001</v>
      </c>
      <c r="BD19" s="10">
        <v>34876.61</v>
      </c>
      <c r="BE19" s="10">
        <v>43499.8</v>
      </c>
      <c r="BF19" s="10">
        <v>0</v>
      </c>
      <c r="BG19" s="10">
        <v>6432.4</v>
      </c>
      <c r="BH19" s="10">
        <v>0</v>
      </c>
      <c r="BI19" s="10">
        <v>21752.35</v>
      </c>
      <c r="BJ19" s="10">
        <v>0</v>
      </c>
      <c r="BK19" s="10">
        <v>25525.65</v>
      </c>
      <c r="BL19" s="10">
        <v>68140.55</v>
      </c>
      <c r="BM19" s="10">
        <v>22249.8</v>
      </c>
      <c r="BN19" s="10">
        <v>24065.599999999999</v>
      </c>
      <c r="BO19" s="10">
        <v>66941.98</v>
      </c>
      <c r="BP19" s="10">
        <v>49588.55</v>
      </c>
      <c r="BQ19" s="10">
        <v>28340.799999999999</v>
      </c>
      <c r="BR19" s="10">
        <v>257670.94</v>
      </c>
      <c r="BS19" s="10">
        <v>30704.95</v>
      </c>
      <c r="BT19" s="10">
        <v>0</v>
      </c>
      <c r="BU19" s="10">
        <v>0</v>
      </c>
      <c r="BV19" s="10">
        <v>22966.400000000001</v>
      </c>
      <c r="BW19" s="10">
        <v>100376.19</v>
      </c>
      <c r="BX19" s="10">
        <v>0</v>
      </c>
      <c r="BY19" s="10">
        <v>25184</v>
      </c>
      <c r="BZ19" s="10">
        <v>55697.7</v>
      </c>
      <c r="CB19" t="s">
        <v>119</v>
      </c>
    </row>
    <row r="20" spans="1:80" x14ac:dyDescent="0.2">
      <c r="B20" t="s">
        <v>79</v>
      </c>
      <c r="C20" s="3">
        <f t="shared" ref="C20:AH20" si="0">SUM(C17:C19)</f>
        <v>1157731238.2900002</v>
      </c>
      <c r="D20" s="3">
        <f t="shared" si="0"/>
        <v>159285301.34999999</v>
      </c>
      <c r="E20" s="3">
        <f t="shared" si="0"/>
        <v>21458274.91</v>
      </c>
      <c r="F20" s="3">
        <f t="shared" si="0"/>
        <v>4210497.1500000004</v>
      </c>
      <c r="G20" s="3">
        <f t="shared" si="0"/>
        <v>3230587.09</v>
      </c>
      <c r="H20" s="3">
        <f t="shared" si="0"/>
        <v>8837920.4600000009</v>
      </c>
      <c r="I20" s="3">
        <f t="shared" si="0"/>
        <v>18933306.839999996</v>
      </c>
      <c r="J20" s="3">
        <f t="shared" si="0"/>
        <v>7732435.7300000004</v>
      </c>
      <c r="K20" s="3">
        <f t="shared" si="0"/>
        <v>2616299.66</v>
      </c>
      <c r="L20" s="3">
        <f t="shared" si="0"/>
        <v>3533668.5</v>
      </c>
      <c r="M20" s="3">
        <f t="shared" si="0"/>
        <v>2896472.79</v>
      </c>
      <c r="N20" s="3">
        <f t="shared" si="0"/>
        <v>5956252.0800000001</v>
      </c>
      <c r="O20" s="3">
        <f t="shared" si="0"/>
        <v>15175668.98</v>
      </c>
      <c r="P20" s="3">
        <f t="shared" si="0"/>
        <v>20753346.699999999</v>
      </c>
      <c r="Q20" s="3">
        <f t="shared" si="0"/>
        <v>14094440.99</v>
      </c>
      <c r="R20" s="3">
        <f t="shared" si="0"/>
        <v>6242849.7400000002</v>
      </c>
      <c r="S20" s="3">
        <f t="shared" si="0"/>
        <v>12610090.109999999</v>
      </c>
      <c r="T20" s="3">
        <f t="shared" si="0"/>
        <v>17606392.010000002</v>
      </c>
      <c r="U20" s="3">
        <f t="shared" si="0"/>
        <v>8452755.4100000001</v>
      </c>
      <c r="V20" s="3">
        <f t="shared" si="0"/>
        <v>9767538.9900000002</v>
      </c>
      <c r="W20" s="3">
        <f t="shared" si="0"/>
        <v>14085647.060000001</v>
      </c>
      <c r="X20" s="3">
        <f t="shared" si="0"/>
        <v>19344948.73</v>
      </c>
      <c r="Y20" s="3">
        <f t="shared" si="0"/>
        <v>9989683.3300000001</v>
      </c>
      <c r="Z20" s="3">
        <f t="shared" si="0"/>
        <v>4578158.79</v>
      </c>
      <c r="AA20" s="3">
        <f t="shared" si="0"/>
        <v>25878239.899999999</v>
      </c>
      <c r="AB20" s="3">
        <f t="shared" si="0"/>
        <v>3693984.58</v>
      </c>
      <c r="AC20" s="3">
        <f t="shared" si="0"/>
        <v>21853721.379999999</v>
      </c>
      <c r="AD20" s="3">
        <f t="shared" si="0"/>
        <v>5986425.9800000004</v>
      </c>
      <c r="AE20" s="3">
        <f t="shared" si="0"/>
        <v>11699009.119999999</v>
      </c>
      <c r="AF20" s="3">
        <f t="shared" si="0"/>
        <v>8598923.2600000016</v>
      </c>
      <c r="AG20" s="3">
        <f t="shared" si="0"/>
        <v>16541060.439999999</v>
      </c>
      <c r="AH20" s="3">
        <f t="shared" si="0"/>
        <v>28753061.510000002</v>
      </c>
      <c r="AI20" s="3">
        <f t="shared" ref="AI20:BN20" si="1">SUM(AI17:AI19)</f>
        <v>12264020.939999999</v>
      </c>
      <c r="AJ20" s="3">
        <f t="shared" si="1"/>
        <v>12695743.950000001</v>
      </c>
      <c r="AK20" s="3">
        <f t="shared" si="1"/>
        <v>13527397.919999998</v>
      </c>
      <c r="AL20" s="3">
        <f t="shared" si="1"/>
        <v>11662974.860000001</v>
      </c>
      <c r="AM20" s="3">
        <f t="shared" si="1"/>
        <v>12378621.350000001</v>
      </c>
      <c r="AN20" s="3">
        <f t="shared" si="1"/>
        <v>4765755.33</v>
      </c>
      <c r="AO20" s="3">
        <f t="shared" si="1"/>
        <v>19504111.790000003</v>
      </c>
      <c r="AP20" s="3">
        <f t="shared" si="1"/>
        <v>11279987.33</v>
      </c>
      <c r="AQ20" s="3">
        <f t="shared" si="1"/>
        <v>11739123.439999999</v>
      </c>
      <c r="AR20" s="3">
        <f t="shared" si="1"/>
        <v>5525841.54</v>
      </c>
      <c r="AS20" s="3">
        <f t="shared" si="1"/>
        <v>3881208.35</v>
      </c>
      <c r="AT20" s="3">
        <f t="shared" si="1"/>
        <v>3607860.35</v>
      </c>
      <c r="AU20" s="3">
        <f t="shared" si="1"/>
        <v>8536035.040000001</v>
      </c>
      <c r="AV20" s="3">
        <f t="shared" si="1"/>
        <v>7616087.2000000002</v>
      </c>
      <c r="AW20" s="3">
        <f t="shared" si="1"/>
        <v>10794980.389999999</v>
      </c>
      <c r="AX20" s="3">
        <f t="shared" si="1"/>
        <v>12380665.5</v>
      </c>
      <c r="AY20" s="3">
        <f t="shared" si="1"/>
        <v>15198241.139999999</v>
      </c>
      <c r="AZ20" s="3">
        <f t="shared" si="1"/>
        <v>9265873.7600000016</v>
      </c>
      <c r="BA20" s="3">
        <f t="shared" si="1"/>
        <v>60691194.220000006</v>
      </c>
      <c r="BB20" s="3">
        <f t="shared" si="1"/>
        <v>23038175.100000001</v>
      </c>
      <c r="BC20" s="3">
        <f t="shared" si="1"/>
        <v>6156056.7500000009</v>
      </c>
      <c r="BD20" s="3">
        <f t="shared" si="1"/>
        <v>7678402.6300000008</v>
      </c>
      <c r="BE20" s="3">
        <f t="shared" si="1"/>
        <v>12862278.360000001</v>
      </c>
      <c r="BF20" s="3">
        <f t="shared" si="1"/>
        <v>17679105.539999999</v>
      </c>
      <c r="BG20" s="3">
        <f t="shared" si="1"/>
        <v>3664575.9899999998</v>
      </c>
      <c r="BH20" s="3">
        <f t="shared" si="1"/>
        <v>17956114.359999999</v>
      </c>
      <c r="BI20" s="3">
        <f t="shared" si="1"/>
        <v>12209997.189999999</v>
      </c>
      <c r="BJ20" s="3">
        <f t="shared" si="1"/>
        <v>4866141.8899999997</v>
      </c>
      <c r="BK20" s="3">
        <f t="shared" si="1"/>
        <v>8495321.870000001</v>
      </c>
      <c r="BL20" s="3">
        <f t="shared" si="1"/>
        <v>26225441.77</v>
      </c>
      <c r="BM20" s="3">
        <f t="shared" si="1"/>
        <v>10794721.130000001</v>
      </c>
      <c r="BN20" s="3">
        <f t="shared" si="1"/>
        <v>16746871.17</v>
      </c>
      <c r="BO20" s="3">
        <f t="shared" ref="BO20:BZ20" si="2">SUM(BO17:BO19)</f>
        <v>28925319.760000002</v>
      </c>
      <c r="BP20" s="3">
        <f t="shared" si="2"/>
        <v>25741487.850000001</v>
      </c>
      <c r="BQ20" s="3">
        <f t="shared" si="2"/>
        <v>9620989.0900000017</v>
      </c>
      <c r="BR20" s="3">
        <f t="shared" si="2"/>
        <v>52841550.159999996</v>
      </c>
      <c r="BS20" s="3">
        <f t="shared" si="2"/>
        <v>11463365.359999999</v>
      </c>
      <c r="BT20" s="3">
        <f t="shared" si="2"/>
        <v>11593925.609999999</v>
      </c>
      <c r="BU20" s="3">
        <f t="shared" si="2"/>
        <v>4467355.83</v>
      </c>
      <c r="BV20" s="3">
        <f t="shared" si="2"/>
        <v>8444193.4500000011</v>
      </c>
      <c r="BW20" s="3">
        <f t="shared" si="2"/>
        <v>38579290.630000003</v>
      </c>
      <c r="BX20" s="3">
        <f t="shared" si="2"/>
        <v>5283728.1500000004</v>
      </c>
      <c r="BY20" s="3">
        <f t="shared" si="2"/>
        <v>9997216.5899999999</v>
      </c>
      <c r="BZ20" s="3">
        <f t="shared" si="2"/>
        <v>20686924.09</v>
      </c>
    </row>
    <row r="21" spans="1:80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80" x14ac:dyDescent="0.2">
      <c r="B22" t="s">
        <v>134</v>
      </c>
      <c r="C22" s="3">
        <f>C20/C14</f>
        <v>19523.621617396588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80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80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80" s="41" customFormat="1" ht="15.75" x14ac:dyDescent="0.25">
      <c r="A25" s="20" t="s">
        <v>98</v>
      </c>
      <c r="B25" s="20" t="s">
        <v>122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20"/>
      <c r="CB25" s="20"/>
    </row>
    <row r="26" spans="1:80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80" s="19" customFormat="1" x14ac:dyDescent="0.2">
      <c r="A27" s="46" t="s">
        <v>128</v>
      </c>
      <c r="B27" s="44" t="s">
        <v>127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4"/>
      <c r="CB27" s="44"/>
    </row>
    <row r="28" spans="1:80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</row>
    <row r="29" spans="1:80" x14ac:dyDescent="0.2">
      <c r="B29" t="s">
        <v>130</v>
      </c>
      <c r="C29" s="8">
        <v>0.65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80" x14ac:dyDescent="0.2">
      <c r="B30" t="s">
        <v>131</v>
      </c>
      <c r="C30" s="8">
        <v>0.2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80" x14ac:dyDescent="0.2">
      <c r="B31" t="s">
        <v>132</v>
      </c>
      <c r="C31" s="47">
        <f t="shared" ref="C31:AH31" si="3">C14/C12</f>
        <v>0.11274281466327736</v>
      </c>
      <c r="D31" s="47">
        <f t="shared" si="3"/>
        <v>9.7502957195408871E-2</v>
      </c>
      <c r="E31" s="47">
        <f t="shared" si="3"/>
        <v>0.11408109743796652</v>
      </c>
      <c r="F31" s="47">
        <f t="shared" si="3"/>
        <v>0.14572864321608039</v>
      </c>
      <c r="G31" s="47">
        <f t="shared" si="3"/>
        <v>0.13168395849960096</v>
      </c>
      <c r="H31" s="47">
        <f t="shared" si="3"/>
        <v>0.11881735285990605</v>
      </c>
      <c r="I31" s="47">
        <f t="shared" si="3"/>
        <v>0.10667224430035557</v>
      </c>
      <c r="J31" s="47">
        <f t="shared" si="3"/>
        <v>0.10270722857940273</v>
      </c>
      <c r="K31" s="47">
        <f t="shared" si="3"/>
        <v>0.11133603238866396</v>
      </c>
      <c r="L31" s="47">
        <f t="shared" si="3"/>
        <v>0.14240705734089476</v>
      </c>
      <c r="M31" s="47">
        <f t="shared" si="3"/>
        <v>0.13450292397660818</v>
      </c>
      <c r="N31" s="47">
        <f t="shared" si="3"/>
        <v>0.13451776649746192</v>
      </c>
      <c r="O31" s="47">
        <f t="shared" si="3"/>
        <v>9.5800524934383208E-2</v>
      </c>
      <c r="P31" s="47">
        <f t="shared" si="3"/>
        <v>9.6757696634959603E-2</v>
      </c>
      <c r="Q31" s="47">
        <f t="shared" si="3"/>
        <v>0.10312409603702632</v>
      </c>
      <c r="R31" s="47">
        <f t="shared" si="3"/>
        <v>8.7043952887101414E-2</v>
      </c>
      <c r="S31" s="47">
        <f t="shared" si="3"/>
        <v>0.11649863978236517</v>
      </c>
      <c r="T31" s="47">
        <f t="shared" si="3"/>
        <v>0.10579253514299564</v>
      </c>
      <c r="U31" s="47">
        <f t="shared" si="3"/>
        <v>0.1165783497350492</v>
      </c>
      <c r="V31" s="47">
        <f t="shared" si="3"/>
        <v>0.11130846654825341</v>
      </c>
      <c r="W31" s="47">
        <f t="shared" si="3"/>
        <v>0.11685295398461315</v>
      </c>
      <c r="X31" s="47">
        <f t="shared" si="3"/>
        <v>0.11632933778738455</v>
      </c>
      <c r="Y31" s="47">
        <f t="shared" si="3"/>
        <v>0.10130452507134122</v>
      </c>
      <c r="Z31" s="47">
        <f t="shared" si="3"/>
        <v>0.10575573233504913</v>
      </c>
      <c r="AA31" s="47">
        <f t="shared" si="3"/>
        <v>0.10873106369115491</v>
      </c>
      <c r="AB31" s="47">
        <f t="shared" si="3"/>
        <v>0.12146529562982006</v>
      </c>
      <c r="AC31" s="47">
        <f t="shared" si="3"/>
        <v>0.12254901960784313</v>
      </c>
      <c r="AD31" s="47">
        <f t="shared" si="3"/>
        <v>0.13228155339805825</v>
      </c>
      <c r="AE31" s="47">
        <f t="shared" si="3"/>
        <v>9.9164071463694478E-2</v>
      </c>
      <c r="AF31" s="47">
        <f t="shared" si="3"/>
        <v>0.13227953410981697</v>
      </c>
      <c r="AG31" s="47">
        <f t="shared" si="3"/>
        <v>0.12065187619830184</v>
      </c>
      <c r="AH31" s="47">
        <f t="shared" si="3"/>
        <v>0.11378169790518192</v>
      </c>
      <c r="AI31" s="47">
        <f t="shared" ref="AI31:BN31" si="4">AI14/AI12</f>
        <v>0.12691797688956241</v>
      </c>
      <c r="AJ31" s="47">
        <f t="shared" si="4"/>
        <v>0.12956441149212233</v>
      </c>
      <c r="AK31" s="47">
        <f t="shared" si="4"/>
        <v>0.11718143721868694</v>
      </c>
      <c r="AL31" s="47">
        <f t="shared" si="4"/>
        <v>0.11405782652043868</v>
      </c>
      <c r="AM31" s="47">
        <f t="shared" si="4"/>
        <v>9.8754314873180246E-2</v>
      </c>
      <c r="AN31" s="47">
        <f t="shared" si="4"/>
        <v>0.1145233525271913</v>
      </c>
      <c r="AO31" s="47">
        <f t="shared" si="4"/>
        <v>0.11975083234883471</v>
      </c>
      <c r="AP31" s="47">
        <f t="shared" si="4"/>
        <v>0.120130493187488</v>
      </c>
      <c r="AQ31" s="47">
        <f t="shared" si="4"/>
        <v>0.11747353808780149</v>
      </c>
      <c r="AR31" s="47">
        <f t="shared" si="4"/>
        <v>0.10166666666666667</v>
      </c>
      <c r="AS31" s="47">
        <f t="shared" si="4"/>
        <v>9.5831077422847855E-2</v>
      </c>
      <c r="AT31" s="47">
        <f t="shared" si="4"/>
        <v>9.9728997289972907E-2</v>
      </c>
      <c r="AU31" s="47">
        <f t="shared" si="4"/>
        <v>0.13727928376025864</v>
      </c>
      <c r="AV31" s="47">
        <f t="shared" si="4"/>
        <v>0.13419483101391649</v>
      </c>
      <c r="AW31" s="47">
        <f t="shared" si="4"/>
        <v>0.12017422292615323</v>
      </c>
      <c r="AX31" s="47">
        <f t="shared" si="4"/>
        <v>0.10154565061107117</v>
      </c>
      <c r="AY31" s="47">
        <f t="shared" si="4"/>
        <v>0.12204379562043796</v>
      </c>
      <c r="AZ31" s="47">
        <f t="shared" si="4"/>
        <v>0.10851581508515815</v>
      </c>
      <c r="BA31" s="47">
        <f t="shared" si="4"/>
        <v>0.10271839161829251</v>
      </c>
      <c r="BB31" s="47">
        <f t="shared" si="4"/>
        <v>0.1209483793517407</v>
      </c>
      <c r="BC31" s="47">
        <f t="shared" si="4"/>
        <v>0.12136294027565084</v>
      </c>
      <c r="BD31" s="47">
        <f t="shared" si="4"/>
        <v>0.10875971068845433</v>
      </c>
      <c r="BE31" s="47">
        <f t="shared" si="4"/>
        <v>0.11347660172725448</v>
      </c>
      <c r="BF31" s="47">
        <f t="shared" si="4"/>
        <v>0.10933660933660934</v>
      </c>
      <c r="BG31" s="47">
        <f t="shared" si="4"/>
        <v>9.2929292929292931E-2</v>
      </c>
      <c r="BH31" s="47">
        <f t="shared" si="4"/>
        <v>0.13092979127134724</v>
      </c>
      <c r="BI31" s="47">
        <f t="shared" si="4"/>
        <v>0.12299050939376331</v>
      </c>
      <c r="BJ31" s="47">
        <f t="shared" si="4"/>
        <v>0.13959234095120446</v>
      </c>
      <c r="BK31" s="47">
        <f t="shared" si="4"/>
        <v>0.15068493150684931</v>
      </c>
      <c r="BL31" s="47">
        <f t="shared" si="4"/>
        <v>0.13351328903654486</v>
      </c>
      <c r="BM31" s="47">
        <f t="shared" si="4"/>
        <v>0.13279474880080788</v>
      </c>
      <c r="BN31" s="47">
        <f t="shared" si="4"/>
        <v>0.1251529987760098</v>
      </c>
      <c r="BO31" s="47">
        <f t="shared" ref="BO31:BZ31" si="5">BO14/BO12</f>
        <v>0.12182777817945195</v>
      </c>
      <c r="BP31" s="47">
        <f t="shared" si="5"/>
        <v>0.11966302891058779</v>
      </c>
      <c r="BQ31" s="47">
        <f t="shared" si="5"/>
        <v>0.137221269296741</v>
      </c>
      <c r="BR31" s="47">
        <f t="shared" si="5"/>
        <v>0.10786031539057088</v>
      </c>
      <c r="BS31" s="47">
        <f t="shared" si="5"/>
        <v>0.114268561136682</v>
      </c>
      <c r="BT31" s="47">
        <f t="shared" si="5"/>
        <v>0.11922406277244987</v>
      </c>
      <c r="BU31" s="47">
        <f t="shared" si="5"/>
        <v>0.15389652914210872</v>
      </c>
      <c r="BV31" s="47">
        <f t="shared" si="5"/>
        <v>0.14682911590128084</v>
      </c>
      <c r="BW31" s="47">
        <f t="shared" si="5"/>
        <v>0.11061121474816196</v>
      </c>
      <c r="BX31" s="47">
        <f t="shared" si="5"/>
        <v>0.13617021276595745</v>
      </c>
      <c r="BY31" s="47">
        <f t="shared" si="5"/>
        <v>0.15532879818594103</v>
      </c>
      <c r="BZ31" s="47">
        <f t="shared" si="5"/>
        <v>0.11791622668074622</v>
      </c>
    </row>
    <row r="32" spans="1:80" x14ac:dyDescent="0.2">
      <c r="B32" t="s">
        <v>118</v>
      </c>
      <c r="C32" s="3"/>
      <c r="D32" s="10">
        <v>1.1100000000000001</v>
      </c>
      <c r="E32" s="10">
        <v>1.06</v>
      </c>
      <c r="F32" s="10">
        <v>0.83</v>
      </c>
      <c r="G32" s="10">
        <v>0.84</v>
      </c>
      <c r="H32" s="10">
        <v>0.81</v>
      </c>
      <c r="I32" s="10">
        <v>0.99</v>
      </c>
      <c r="J32" s="10">
        <v>0.97</v>
      </c>
      <c r="K32" s="10">
        <v>0.85</v>
      </c>
      <c r="L32" s="10">
        <v>0.83</v>
      </c>
      <c r="M32" s="10">
        <v>0.8</v>
      </c>
      <c r="N32" s="10">
        <v>0.85</v>
      </c>
      <c r="O32" s="10">
        <v>1</v>
      </c>
      <c r="P32" s="10">
        <v>1.2</v>
      </c>
      <c r="Q32" s="10">
        <v>0.94</v>
      </c>
      <c r="R32" s="10">
        <v>1.04</v>
      </c>
      <c r="S32" s="10">
        <v>1.1100000000000001</v>
      </c>
      <c r="T32" s="10">
        <v>1.02</v>
      </c>
      <c r="U32" s="10">
        <v>0.88</v>
      </c>
      <c r="V32" s="10">
        <v>0.89</v>
      </c>
      <c r="W32" s="10">
        <v>0.91</v>
      </c>
      <c r="X32" s="10">
        <v>0.94</v>
      </c>
      <c r="Y32" s="10">
        <v>1.03</v>
      </c>
      <c r="Z32" s="10">
        <v>0.88</v>
      </c>
      <c r="AA32" s="10">
        <v>0.98</v>
      </c>
      <c r="AB32" s="10">
        <v>0.87</v>
      </c>
      <c r="AC32" s="10">
        <v>0.91</v>
      </c>
      <c r="AD32" s="10">
        <v>0.92</v>
      </c>
      <c r="AE32" s="10">
        <v>0.94</v>
      </c>
      <c r="AF32" s="10">
        <v>0.9</v>
      </c>
      <c r="AG32" s="10">
        <v>0.92</v>
      </c>
      <c r="AH32" s="10">
        <v>1.03</v>
      </c>
      <c r="AI32" s="10">
        <v>1.05</v>
      </c>
      <c r="AJ32" s="10">
        <v>0.98</v>
      </c>
      <c r="AK32" s="10">
        <v>0.95</v>
      </c>
      <c r="AL32" s="10">
        <v>0.89</v>
      </c>
      <c r="AM32" s="10">
        <v>0.93</v>
      </c>
      <c r="AN32" s="10">
        <v>0.86</v>
      </c>
      <c r="AO32" s="10">
        <v>0.92</v>
      </c>
      <c r="AP32" s="10">
        <v>0.96</v>
      </c>
      <c r="AQ32" s="10">
        <v>0.92</v>
      </c>
      <c r="AR32" s="10">
        <v>0.87</v>
      </c>
      <c r="AS32" s="10">
        <v>0.83</v>
      </c>
      <c r="AT32" s="10">
        <v>0.93</v>
      </c>
      <c r="AU32" s="10">
        <v>0.92</v>
      </c>
      <c r="AV32" s="10">
        <v>0.87</v>
      </c>
      <c r="AW32" s="10">
        <v>0.93</v>
      </c>
      <c r="AX32" s="10">
        <v>0.9</v>
      </c>
      <c r="AY32" s="10">
        <v>1.01</v>
      </c>
      <c r="AZ32" s="10">
        <v>0.98</v>
      </c>
      <c r="BA32" s="10">
        <v>0.92</v>
      </c>
      <c r="BB32" s="10">
        <v>0.9</v>
      </c>
      <c r="BC32" s="10">
        <v>0.86</v>
      </c>
      <c r="BD32" s="10">
        <v>0.95</v>
      </c>
      <c r="BE32" s="10">
        <v>0.99</v>
      </c>
      <c r="BF32" s="10">
        <v>1.05</v>
      </c>
      <c r="BG32" s="10">
        <v>1.05</v>
      </c>
      <c r="BH32" s="10">
        <v>0.97</v>
      </c>
      <c r="BI32" s="10">
        <v>0.96</v>
      </c>
      <c r="BJ32" s="10">
        <v>0.91</v>
      </c>
      <c r="BK32" s="10">
        <v>0.86</v>
      </c>
      <c r="BL32" s="10">
        <v>1.02</v>
      </c>
      <c r="BM32" s="10">
        <v>0.88</v>
      </c>
      <c r="BN32" s="10">
        <v>0.94</v>
      </c>
      <c r="BO32" s="10">
        <v>1.01</v>
      </c>
      <c r="BP32" s="10">
        <v>1.03</v>
      </c>
      <c r="BQ32" s="10">
        <v>0.97</v>
      </c>
      <c r="BR32" s="10">
        <v>1.0900000000000001</v>
      </c>
      <c r="BS32" s="10">
        <v>0.86</v>
      </c>
      <c r="BT32" s="10">
        <v>0.87</v>
      </c>
      <c r="BU32" s="10">
        <v>0.8</v>
      </c>
      <c r="BV32" s="10">
        <v>0.83</v>
      </c>
      <c r="BW32" s="10">
        <v>0.94</v>
      </c>
      <c r="BX32" s="10">
        <v>0.85</v>
      </c>
      <c r="BY32" s="10">
        <v>0.85</v>
      </c>
      <c r="BZ32" s="10">
        <v>0.92</v>
      </c>
      <c r="CB32" t="s">
        <v>121</v>
      </c>
    </row>
    <row r="33" spans="1:80" x14ac:dyDescent="0.2">
      <c r="B33" t="s">
        <v>133</v>
      </c>
      <c r="C33" s="3"/>
      <c r="D33" s="3">
        <f>1+(D32-1)*0.15</f>
        <v>1.0165</v>
      </c>
      <c r="E33" s="3">
        <f t="shared" ref="E33:BN33" si="6">1+(E32-1)*0.15</f>
        <v>1.0089999999999999</v>
      </c>
      <c r="F33" s="3">
        <f t="shared" si="6"/>
        <v>0.97450000000000003</v>
      </c>
      <c r="G33" s="3">
        <f t="shared" si="6"/>
        <v>0.97599999999999998</v>
      </c>
      <c r="H33" s="3">
        <f t="shared" si="6"/>
        <v>0.97150000000000003</v>
      </c>
      <c r="I33" s="3">
        <f t="shared" si="6"/>
        <v>0.99849999999999994</v>
      </c>
      <c r="J33" s="3">
        <f t="shared" si="6"/>
        <v>0.99550000000000005</v>
      </c>
      <c r="K33" s="3">
        <f t="shared" si="6"/>
        <v>0.97750000000000004</v>
      </c>
      <c r="L33" s="3">
        <f t="shared" si="6"/>
        <v>0.97450000000000003</v>
      </c>
      <c r="M33" s="3">
        <f t="shared" si="6"/>
        <v>0.97</v>
      </c>
      <c r="N33" s="3">
        <f t="shared" si="6"/>
        <v>0.97750000000000004</v>
      </c>
      <c r="O33" s="3">
        <f t="shared" si="6"/>
        <v>1</v>
      </c>
      <c r="P33" s="3">
        <f t="shared" si="6"/>
        <v>1.03</v>
      </c>
      <c r="Q33" s="3">
        <f t="shared" si="6"/>
        <v>0.99099999999999999</v>
      </c>
      <c r="R33" s="3">
        <f t="shared" si="6"/>
        <v>1.006</v>
      </c>
      <c r="S33" s="3">
        <f t="shared" si="6"/>
        <v>1.0165</v>
      </c>
      <c r="T33" s="3">
        <f t="shared" si="6"/>
        <v>1.0030000000000001</v>
      </c>
      <c r="U33" s="3">
        <f t="shared" si="6"/>
        <v>0.98199999999999998</v>
      </c>
      <c r="V33" s="3">
        <f t="shared" si="6"/>
        <v>0.98350000000000004</v>
      </c>
      <c r="W33" s="3">
        <f t="shared" si="6"/>
        <v>0.98650000000000004</v>
      </c>
      <c r="X33" s="3">
        <f t="shared" si="6"/>
        <v>0.99099999999999999</v>
      </c>
      <c r="Y33" s="3">
        <f t="shared" si="6"/>
        <v>1.0044999999999999</v>
      </c>
      <c r="Z33" s="3">
        <f t="shared" si="6"/>
        <v>0.98199999999999998</v>
      </c>
      <c r="AA33" s="3">
        <f t="shared" si="6"/>
        <v>0.997</v>
      </c>
      <c r="AB33" s="3">
        <f t="shared" si="6"/>
        <v>0.98050000000000004</v>
      </c>
      <c r="AC33" s="3">
        <f t="shared" si="6"/>
        <v>0.98650000000000004</v>
      </c>
      <c r="AD33" s="3">
        <f t="shared" si="6"/>
        <v>0.98799999999999999</v>
      </c>
      <c r="AE33" s="3">
        <f t="shared" si="6"/>
        <v>0.99099999999999999</v>
      </c>
      <c r="AF33" s="3">
        <f t="shared" si="6"/>
        <v>0.98499999999999999</v>
      </c>
      <c r="AG33" s="3">
        <f t="shared" si="6"/>
        <v>0.98799999999999999</v>
      </c>
      <c r="AH33" s="3">
        <f t="shared" si="6"/>
        <v>1.0044999999999999</v>
      </c>
      <c r="AI33" s="3">
        <f t="shared" si="6"/>
        <v>1.0075000000000001</v>
      </c>
      <c r="AJ33" s="3">
        <f t="shared" si="6"/>
        <v>0.997</v>
      </c>
      <c r="AK33" s="3">
        <f t="shared" si="6"/>
        <v>0.99249999999999994</v>
      </c>
      <c r="AL33" s="3">
        <f t="shared" si="6"/>
        <v>0.98350000000000004</v>
      </c>
      <c r="AM33" s="3">
        <f t="shared" si="6"/>
        <v>0.98950000000000005</v>
      </c>
      <c r="AN33" s="3">
        <f t="shared" si="6"/>
        <v>0.97899999999999998</v>
      </c>
      <c r="AO33" s="3">
        <f t="shared" si="6"/>
        <v>0.98799999999999999</v>
      </c>
      <c r="AP33" s="3">
        <f t="shared" si="6"/>
        <v>0.99399999999999999</v>
      </c>
      <c r="AQ33" s="3">
        <f t="shared" si="6"/>
        <v>0.98799999999999999</v>
      </c>
      <c r="AR33" s="3">
        <f t="shared" si="6"/>
        <v>0.98050000000000004</v>
      </c>
      <c r="AS33" s="3">
        <f t="shared" si="6"/>
        <v>0.97450000000000003</v>
      </c>
      <c r="AT33" s="3">
        <f t="shared" si="6"/>
        <v>0.98950000000000005</v>
      </c>
      <c r="AU33" s="3">
        <f t="shared" si="6"/>
        <v>0.98799999999999999</v>
      </c>
      <c r="AV33" s="3">
        <f t="shared" si="6"/>
        <v>0.98050000000000004</v>
      </c>
      <c r="AW33" s="3">
        <f t="shared" si="6"/>
        <v>0.98950000000000005</v>
      </c>
      <c r="AX33" s="3">
        <f t="shared" si="6"/>
        <v>0.98499999999999999</v>
      </c>
      <c r="AY33" s="3">
        <f t="shared" si="6"/>
        <v>1.0015000000000001</v>
      </c>
      <c r="AZ33" s="3">
        <f t="shared" si="6"/>
        <v>0.997</v>
      </c>
      <c r="BA33" s="3">
        <f t="shared" si="6"/>
        <v>0.98799999999999999</v>
      </c>
      <c r="BB33" s="3">
        <f t="shared" si="6"/>
        <v>0.98499999999999999</v>
      </c>
      <c r="BC33" s="3">
        <f t="shared" si="6"/>
        <v>0.97899999999999998</v>
      </c>
      <c r="BD33" s="3">
        <f t="shared" si="6"/>
        <v>0.99249999999999994</v>
      </c>
      <c r="BE33" s="3">
        <f t="shared" si="6"/>
        <v>0.99849999999999994</v>
      </c>
      <c r="BF33" s="3">
        <f t="shared" si="6"/>
        <v>1.0075000000000001</v>
      </c>
      <c r="BG33" s="3">
        <f t="shared" si="6"/>
        <v>1.0075000000000001</v>
      </c>
      <c r="BH33" s="3">
        <f t="shared" ref="BH33" si="7">1+(BH32-1)*0.15</f>
        <v>0.99550000000000005</v>
      </c>
      <c r="BI33" s="3">
        <f t="shared" si="6"/>
        <v>0.99399999999999999</v>
      </c>
      <c r="BJ33" s="3">
        <f t="shared" si="6"/>
        <v>0.98650000000000004</v>
      </c>
      <c r="BK33" s="3">
        <f t="shared" si="6"/>
        <v>0.97899999999999998</v>
      </c>
      <c r="BL33" s="3">
        <f t="shared" si="6"/>
        <v>1.0030000000000001</v>
      </c>
      <c r="BM33" s="3">
        <f t="shared" si="6"/>
        <v>0.98199999999999998</v>
      </c>
      <c r="BN33" s="3">
        <f t="shared" si="6"/>
        <v>0.99099999999999999</v>
      </c>
      <c r="BO33" s="3">
        <f t="shared" ref="BO33:BZ33" si="8">1+(BO32-1)*0.15</f>
        <v>1.0015000000000001</v>
      </c>
      <c r="BP33" s="3">
        <f t="shared" si="8"/>
        <v>1.0044999999999999</v>
      </c>
      <c r="BQ33" s="3">
        <f t="shared" si="8"/>
        <v>0.99550000000000005</v>
      </c>
      <c r="BR33" s="3">
        <f t="shared" si="8"/>
        <v>1.0135000000000001</v>
      </c>
      <c r="BS33" s="3">
        <f t="shared" si="8"/>
        <v>0.97899999999999998</v>
      </c>
      <c r="BT33" s="3">
        <f t="shared" si="8"/>
        <v>0.98050000000000004</v>
      </c>
      <c r="BU33" s="3">
        <f t="shared" si="8"/>
        <v>0.97</v>
      </c>
      <c r="BV33" s="3">
        <f t="shared" si="8"/>
        <v>0.97450000000000003</v>
      </c>
      <c r="BW33" s="3">
        <f t="shared" si="8"/>
        <v>0.99099999999999999</v>
      </c>
      <c r="BX33" s="3">
        <f t="shared" si="8"/>
        <v>0.97750000000000004</v>
      </c>
      <c r="BY33" s="3">
        <f t="shared" si="8"/>
        <v>0.97750000000000004</v>
      </c>
      <c r="BZ33" s="3">
        <f t="shared" si="8"/>
        <v>0.98799999999999999</v>
      </c>
    </row>
    <row r="34" spans="1:80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80" s="19" customFormat="1" x14ac:dyDescent="0.2">
      <c r="B35" s="19" t="s">
        <v>135</v>
      </c>
      <c r="C35" s="13"/>
      <c r="D35" s="13">
        <f t="shared" ref="D35:AI35" si="9">IF(D31*D33&gt;$C31,(D31*D33-$C31)*D12*$C22*$C29,(D31*D33-$C31)*D12*$C22*$C30)</f>
        <v>-4094692.9683784465</v>
      </c>
      <c r="E35" s="13">
        <f t="shared" si="9"/>
        <v>297547.37393206521</v>
      </c>
      <c r="F35" s="13">
        <f t="shared" si="9"/>
        <v>517420.74956746079</v>
      </c>
      <c r="G35" s="13">
        <f t="shared" si="9"/>
        <v>250929.58419569614</v>
      </c>
      <c r="H35" s="13">
        <f t="shared" si="9"/>
        <v>123461.32935735659</v>
      </c>
      <c r="I35" s="13">
        <f t="shared" si="9"/>
        <v>-232630.9559058272</v>
      </c>
      <c r="J35" s="13">
        <f t="shared" si="9"/>
        <v>-146870.36762475927</v>
      </c>
      <c r="K35" s="13">
        <f t="shared" si="9"/>
        <v>-15091.372502547492</v>
      </c>
      <c r="L35" s="13">
        <f t="shared" si="9"/>
        <v>524291.23054176255</v>
      </c>
      <c r="M35" s="13">
        <f t="shared" si="9"/>
        <v>230785.15638482818</v>
      </c>
      <c r="N35" s="13">
        <f t="shared" si="9"/>
        <v>562449.00596910017</v>
      </c>
      <c r="O35" s="13">
        <f t="shared" si="9"/>
        <v>-504100.87749483273</v>
      </c>
      <c r="P35" s="13">
        <f t="shared" si="9"/>
        <v>-499439.61763137218</v>
      </c>
      <c r="Q35" s="13">
        <f t="shared" si="9"/>
        <v>-284735.70181421487</v>
      </c>
      <c r="R35" s="13">
        <f t="shared" si="9"/>
        <v>-342209.01605839934</v>
      </c>
      <c r="S35" s="13">
        <f t="shared" si="9"/>
        <v>450281.06083891453</v>
      </c>
      <c r="T35" s="13">
        <f t="shared" si="9"/>
        <v>-213723.94020485287</v>
      </c>
      <c r="U35" s="13">
        <f t="shared" si="9"/>
        <v>87363.258829926912</v>
      </c>
      <c r="V35" s="13">
        <f t="shared" si="9"/>
        <v>-64716.283595847817</v>
      </c>
      <c r="W35" s="13">
        <f t="shared" si="9"/>
        <v>221411.77698922134</v>
      </c>
      <c r="X35" s="13">
        <f t="shared" si="9"/>
        <v>328015.60600043769</v>
      </c>
      <c r="Y35" s="13">
        <f t="shared" si="9"/>
        <v>-210385.56544037387</v>
      </c>
      <c r="Z35" s="13">
        <f t="shared" si="9"/>
        <v>-74187.399535738732</v>
      </c>
      <c r="AA35" s="13">
        <f t="shared" si="9"/>
        <v>-207970.60940755802</v>
      </c>
      <c r="AB35" s="13">
        <f t="shared" si="9"/>
        <v>125465.47446432379</v>
      </c>
      <c r="AC35" s="13">
        <f t="shared" si="9"/>
        <v>949663.11993810604</v>
      </c>
      <c r="AD35" s="13">
        <f t="shared" si="9"/>
        <v>563144.13301030488</v>
      </c>
      <c r="AE35" s="13">
        <f t="shared" si="9"/>
        <v>-344743.86319771165</v>
      </c>
      <c r="AF35" s="13">
        <f t="shared" si="9"/>
        <v>803228.47648312512</v>
      </c>
      <c r="AG35" s="13">
        <f t="shared" si="9"/>
        <v>598730.48953095521</v>
      </c>
      <c r="AH35" s="13">
        <f t="shared" si="9"/>
        <v>267766.55304745038</v>
      </c>
      <c r="AI35" s="13">
        <f t="shared" si="9"/>
        <v>1013396.8698800018</v>
      </c>
      <c r="AJ35" s="13">
        <f t="shared" ref="AJ35:BO35" si="10">IF(AJ31*AJ33&gt;$C31,(AJ31*AJ33-$C31)*AJ12*$C22*$C29,(AJ31*AJ33-$C31)*AJ12*$C22*$C30)</f>
        <v>1125069.872575629</v>
      </c>
      <c r="AK35" s="13">
        <f t="shared" si="10"/>
        <v>291060.1879897</v>
      </c>
      <c r="AL35" s="13">
        <f t="shared" si="10"/>
        <v>-11101.97286162542</v>
      </c>
      <c r="AM35" s="13">
        <f t="shared" si="10"/>
        <v>-390919.0316837111</v>
      </c>
      <c r="AN35" s="13">
        <f t="shared" si="10"/>
        <v>-3811.0863739234119</v>
      </c>
      <c r="AO35" s="13">
        <f t="shared" si="10"/>
        <v>658269.63761161303</v>
      </c>
      <c r="AP35" s="13">
        <f t="shared" si="10"/>
        <v>440878.03666554706</v>
      </c>
      <c r="AQ35" s="13">
        <f t="shared" si="10"/>
        <v>242882.70516661627</v>
      </c>
      <c r="AR35" s="13">
        <f t="shared" si="10"/>
        <v>-152971.26139236067</v>
      </c>
      <c r="AS35" s="13">
        <f t="shared" si="10"/>
        <v>-139591.8589655016</v>
      </c>
      <c r="AT35" s="13">
        <f t="shared" si="10"/>
        <v>-101298.28363865805</v>
      </c>
      <c r="AU35" s="13">
        <f t="shared" si="10"/>
        <v>1167983.920882999</v>
      </c>
      <c r="AV35" s="13">
        <f t="shared" si="10"/>
        <v>721379.18297883216</v>
      </c>
      <c r="AW35" s="13">
        <f t="shared" si="10"/>
        <v>395463.70553227601</v>
      </c>
      <c r="AX35" s="13">
        <f t="shared" si="10"/>
        <v>-276360.84988402791</v>
      </c>
      <c r="AY35" s="13">
        <f t="shared" si="10"/>
        <v>824437.98237059219</v>
      </c>
      <c r="AZ35" s="13">
        <f t="shared" si="10"/>
        <v>-73061.172904373147</v>
      </c>
      <c r="BA35" s="13">
        <f t="shared" si="10"/>
        <v>-1241835.0949737499</v>
      </c>
      <c r="BB35" s="13">
        <f t="shared" si="10"/>
        <v>810759.11407027091</v>
      </c>
      <c r="BC35" s="13">
        <f t="shared" si="10"/>
        <v>201253.3820004882</v>
      </c>
      <c r="BD35" s="13">
        <f t="shared" si="10"/>
        <v>-69948.947024841036</v>
      </c>
      <c r="BE35" s="13">
        <f t="shared" si="10"/>
        <v>35609.460771769147</v>
      </c>
      <c r="BF35" s="13">
        <f t="shared" si="10"/>
        <v>-90420.383294770945</v>
      </c>
      <c r="BG35" s="13">
        <f t="shared" si="10"/>
        <v>-147796.83412557928</v>
      </c>
      <c r="BH35" s="13">
        <f t="shared" si="10"/>
        <v>1412289.7062988642</v>
      </c>
      <c r="BI35" s="13">
        <f t="shared" si="10"/>
        <v>623081.7632798088</v>
      </c>
      <c r="BJ35" s="13">
        <f t="shared" si="10"/>
        <v>512923.59121473471</v>
      </c>
      <c r="BK35" s="13">
        <f t="shared" si="10"/>
        <v>1288717.9054728842</v>
      </c>
      <c r="BL35" s="13">
        <f t="shared" si="10"/>
        <v>2587806.9621451232</v>
      </c>
      <c r="BM35" s="13">
        <f t="shared" si="10"/>
        <v>887788.12271615525</v>
      </c>
      <c r="BN35" s="13">
        <f t="shared" si="10"/>
        <v>935925.83667382412</v>
      </c>
      <c r="BO35" s="13">
        <f t="shared" si="10"/>
        <v>1626670.2725510297</v>
      </c>
      <c r="BP35" s="13">
        <f t="shared" ref="BP35:BZ35" si="11">IF(BP31*BP33&gt;$C31,(BP31*BP33-$C31)*BP12*$C22*$C29,(BP31*BP33-$C31)*BP12*$C22*$C30)</f>
        <v>988750.63676487841</v>
      </c>
      <c r="BQ35" s="13">
        <f t="shared" si="11"/>
        <v>1235743.1922309503</v>
      </c>
      <c r="BR35" s="13">
        <f t="shared" si="11"/>
        <v>-328336.22092600074</v>
      </c>
      <c r="BS35" s="13">
        <f t="shared" si="11"/>
        <v>-17051.325390109545</v>
      </c>
      <c r="BT35" s="13">
        <f t="shared" si="11"/>
        <v>241998.27923226316</v>
      </c>
      <c r="BU35" s="13">
        <f t="shared" si="11"/>
        <v>708016.70542857784</v>
      </c>
      <c r="BV35" s="13">
        <f t="shared" si="11"/>
        <v>1232553.8131574299</v>
      </c>
      <c r="BW35" s="13">
        <f t="shared" si="11"/>
        <v>-222547.96685004837</v>
      </c>
      <c r="BX35" s="13">
        <f t="shared" si="11"/>
        <v>546560.18588417233</v>
      </c>
      <c r="BY35" s="13">
        <f t="shared" si="11"/>
        <v>1750169.2382262612</v>
      </c>
      <c r="BZ35" s="13">
        <f t="shared" si="11"/>
        <v>406509.99235204025</v>
      </c>
    </row>
    <row r="36" spans="1:80" x14ac:dyDescent="0.2">
      <c r="C36" s="3"/>
      <c r="D36" s="3"/>
      <c r="E36" s="4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80" s="19" customFormat="1" x14ac:dyDescent="0.2">
      <c r="A37" s="46" t="s">
        <v>129</v>
      </c>
      <c r="B37" s="44" t="s">
        <v>123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4"/>
      <c r="CB37" s="44"/>
    </row>
    <row r="38" spans="1:80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80" x14ac:dyDescent="0.2">
      <c r="B39" t="s">
        <v>125</v>
      </c>
      <c r="C39" s="10">
        <v>11000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80" x14ac:dyDescent="0.2">
      <c r="B40" t="s">
        <v>126</v>
      </c>
      <c r="C40" s="8">
        <v>0.65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80" x14ac:dyDescent="0.2">
      <c r="B41" t="s">
        <v>124</v>
      </c>
      <c r="C41" s="47">
        <f t="shared" ref="C41:AH41" si="12">C15/C12</f>
        <v>2.9469529457171267E-3</v>
      </c>
      <c r="D41" s="47">
        <f t="shared" si="12"/>
        <v>3.1066800119587683E-3</v>
      </c>
      <c r="E41" s="47">
        <f t="shared" si="12"/>
        <v>3.8329634859794229E-3</v>
      </c>
      <c r="F41" s="47">
        <f t="shared" si="12"/>
        <v>7.1787508973438624E-4</v>
      </c>
      <c r="G41" s="47">
        <f t="shared" si="12"/>
        <v>3.1923383878691143E-3</v>
      </c>
      <c r="H41" s="47">
        <f t="shared" si="12"/>
        <v>2.2105554020447637E-3</v>
      </c>
      <c r="I41" s="47">
        <f t="shared" si="12"/>
        <v>3.7649027400125496E-3</v>
      </c>
      <c r="J41" s="47">
        <f t="shared" si="12"/>
        <v>2.5118615685180016E-3</v>
      </c>
      <c r="K41" s="47">
        <f t="shared" si="12"/>
        <v>2.0242914979757085E-3</v>
      </c>
      <c r="L41" s="47">
        <f t="shared" si="12"/>
        <v>1.890359168241966E-3</v>
      </c>
      <c r="M41" s="47">
        <f t="shared" si="12"/>
        <v>3.8986354775828458E-3</v>
      </c>
      <c r="N41" s="47">
        <f t="shared" si="12"/>
        <v>5.499153976311337E-3</v>
      </c>
      <c r="O41" s="47">
        <f t="shared" si="12"/>
        <v>3.937007874015748E-3</v>
      </c>
      <c r="P41" s="47">
        <f t="shared" si="12"/>
        <v>5.0117622992738057E-3</v>
      </c>
      <c r="Q41" s="47">
        <f t="shared" si="12"/>
        <v>2.7480474399768588E-3</v>
      </c>
      <c r="R41" s="47">
        <f t="shared" si="12"/>
        <v>3.1600114909508762E-3</v>
      </c>
      <c r="S41" s="47">
        <f t="shared" si="12"/>
        <v>2.2403584573531766E-3</v>
      </c>
      <c r="T41" s="47">
        <f t="shared" si="12"/>
        <v>2.90838584585555E-3</v>
      </c>
      <c r="U41" s="47">
        <f t="shared" si="12"/>
        <v>2.0186727226848347E-3</v>
      </c>
      <c r="V41" s="47">
        <f t="shared" si="12"/>
        <v>2.5656206828498125E-3</v>
      </c>
      <c r="W41" s="47">
        <f t="shared" si="12"/>
        <v>1.8870663376397154E-3</v>
      </c>
      <c r="X41" s="47">
        <f t="shared" si="12"/>
        <v>3.6352918058557672E-3</v>
      </c>
      <c r="Y41" s="47">
        <f t="shared" si="12"/>
        <v>4.0766408479412965E-3</v>
      </c>
      <c r="Z41" s="47">
        <f t="shared" si="12"/>
        <v>1.4038371548900327E-3</v>
      </c>
      <c r="AA41" s="47">
        <f t="shared" si="12"/>
        <v>2.9320736276266493E-3</v>
      </c>
      <c r="AB41" s="47">
        <f t="shared" si="12"/>
        <v>1.9280205655526992E-3</v>
      </c>
      <c r="AC41" s="47">
        <f t="shared" si="12"/>
        <v>2.832244008714597E-3</v>
      </c>
      <c r="AD41" s="47">
        <f t="shared" si="12"/>
        <v>1.6181229773462784E-3</v>
      </c>
      <c r="AE41" s="47">
        <f t="shared" si="12"/>
        <v>1.9668906736600559E-3</v>
      </c>
      <c r="AF41" s="47">
        <f t="shared" si="12"/>
        <v>1.3865779256794233E-3</v>
      </c>
      <c r="AG41" s="47">
        <f t="shared" si="12"/>
        <v>2.6020268419611066E-3</v>
      </c>
      <c r="AH41" s="47">
        <f t="shared" si="12"/>
        <v>2.7195883866225653E-3</v>
      </c>
      <c r="AI41" s="47">
        <f t="shared" ref="AI41:BN41" si="13">AI15/AI12</f>
        <v>2.6520174275430951E-3</v>
      </c>
      <c r="AJ41" s="47">
        <f t="shared" si="13"/>
        <v>2.5949953660797036E-3</v>
      </c>
      <c r="AK41" s="47">
        <f t="shared" si="13"/>
        <v>2.6385224274406332E-3</v>
      </c>
      <c r="AL41" s="47">
        <f t="shared" si="13"/>
        <v>2.1934197407776669E-3</v>
      </c>
      <c r="AM41" s="47">
        <f t="shared" si="13"/>
        <v>2.4013207263995197E-3</v>
      </c>
      <c r="AN41" s="47">
        <f t="shared" si="13"/>
        <v>1.2795905310300703E-3</v>
      </c>
      <c r="AO41" s="47">
        <f t="shared" si="13"/>
        <v>2.7923960906454733E-3</v>
      </c>
      <c r="AP41" s="47">
        <f t="shared" si="13"/>
        <v>3.2623296872001536E-3</v>
      </c>
      <c r="AQ41" s="47">
        <f t="shared" si="13"/>
        <v>2.0822488287350338E-3</v>
      </c>
      <c r="AR41" s="47">
        <f t="shared" si="13"/>
        <v>1.3333333333333333E-3</v>
      </c>
      <c r="AS41" s="47">
        <f t="shared" si="13"/>
        <v>1.0828370330265296E-3</v>
      </c>
      <c r="AT41" s="47">
        <f t="shared" si="13"/>
        <v>5.4200542005420054E-4</v>
      </c>
      <c r="AU41" s="47">
        <f t="shared" si="13"/>
        <v>4.227804028848545E-3</v>
      </c>
      <c r="AV41" s="47">
        <f t="shared" si="13"/>
        <v>3.6447978793903248E-3</v>
      </c>
      <c r="AW41" s="47">
        <f t="shared" si="13"/>
        <v>2.1777865769154621E-3</v>
      </c>
      <c r="AX41" s="47">
        <f t="shared" si="13"/>
        <v>1.6175413371675054E-3</v>
      </c>
      <c r="AY41" s="47">
        <f t="shared" si="13"/>
        <v>4.0875912408759128E-3</v>
      </c>
      <c r="AZ41" s="47">
        <f t="shared" si="13"/>
        <v>3.4063260340632603E-3</v>
      </c>
      <c r="BA41" s="47">
        <f t="shared" si="13"/>
        <v>1.9113691066119213E-3</v>
      </c>
      <c r="BB41" s="47">
        <f t="shared" si="13"/>
        <v>2.5010004001600641E-3</v>
      </c>
      <c r="BC41" s="47">
        <f t="shared" si="13"/>
        <v>7.6569678407350692E-4</v>
      </c>
      <c r="BD41" s="47">
        <f t="shared" si="13"/>
        <v>3.2145727297080095E-3</v>
      </c>
      <c r="BE41" s="47">
        <f t="shared" si="13"/>
        <v>4.8202450291223138E-3</v>
      </c>
      <c r="BF41" s="47">
        <f t="shared" si="13"/>
        <v>4.8023229841411656E-3</v>
      </c>
      <c r="BG41" s="47">
        <f t="shared" si="13"/>
        <v>4.5454545454545452E-3</v>
      </c>
      <c r="BH41" s="47">
        <f t="shared" si="13"/>
        <v>3.3206831119544592E-3</v>
      </c>
      <c r="BI41" s="47">
        <f t="shared" si="13"/>
        <v>2.5179159403447607E-3</v>
      </c>
      <c r="BJ41" s="47">
        <f t="shared" si="13"/>
        <v>6.1766522544780727E-3</v>
      </c>
      <c r="BK41" s="47">
        <f t="shared" si="13"/>
        <v>2.7397260273972603E-3</v>
      </c>
      <c r="BL41" s="47">
        <f t="shared" si="13"/>
        <v>3.5299003322259138E-3</v>
      </c>
      <c r="BM41" s="47">
        <f t="shared" si="13"/>
        <v>1.2623074981065387E-3</v>
      </c>
      <c r="BN41" s="47">
        <f t="shared" si="13"/>
        <v>3.97796817625459E-3</v>
      </c>
      <c r="BO41" s="47">
        <f t="shared" ref="BO41:BZ41" si="14">BO15/BO12</f>
        <v>3.3981635456583037E-3</v>
      </c>
      <c r="BP41" s="47">
        <f t="shared" si="14"/>
        <v>3.733486502010339E-3</v>
      </c>
      <c r="BQ41" s="47">
        <f t="shared" si="14"/>
        <v>3.1854937515314874E-3</v>
      </c>
      <c r="BR41" s="47">
        <f t="shared" si="14"/>
        <v>3.5450878122325904E-3</v>
      </c>
      <c r="BS41" s="47">
        <f t="shared" si="14"/>
        <v>2.6015609365619371E-3</v>
      </c>
      <c r="BT41" s="47">
        <f t="shared" si="14"/>
        <v>2.179598953792502E-3</v>
      </c>
      <c r="BU41" s="47">
        <f t="shared" si="14"/>
        <v>2.6195153896529143E-3</v>
      </c>
      <c r="BV41" s="47">
        <f t="shared" si="14"/>
        <v>1.5620118712902219E-3</v>
      </c>
      <c r="BW41" s="47">
        <f t="shared" si="14"/>
        <v>2.4690003292000438E-3</v>
      </c>
      <c r="BX41" s="47">
        <f t="shared" si="14"/>
        <v>1.8912529550827422E-3</v>
      </c>
      <c r="BY41" s="47">
        <f t="shared" si="14"/>
        <v>1.1337868480725624E-3</v>
      </c>
      <c r="BZ41" s="47">
        <f t="shared" si="14"/>
        <v>3.1678986272439284E-3</v>
      </c>
    </row>
    <row r="42" spans="1:80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80" s="19" customFormat="1" x14ac:dyDescent="0.2">
      <c r="B43" s="19" t="s">
        <v>136</v>
      </c>
      <c r="C43" s="13"/>
      <c r="D43" s="13">
        <f t="shared" ref="D43:AI43" si="15">IF(D41&gt;$C41,(D41-$C41)*D12*$C39*$C40,0)</f>
        <v>87858.934971205497</v>
      </c>
      <c r="E43" s="13">
        <f t="shared" si="15"/>
        <v>62804.945747546903</v>
      </c>
      <c r="F43" s="13">
        <f t="shared" si="15"/>
        <v>0</v>
      </c>
      <c r="G43" s="13">
        <f t="shared" si="15"/>
        <v>2198.3959069675498</v>
      </c>
      <c r="H43" s="13">
        <f t="shared" si="15"/>
        <v>0</v>
      </c>
      <c r="I43" s="13">
        <f t="shared" si="15"/>
        <v>55921.836921327762</v>
      </c>
      <c r="J43" s="13">
        <f t="shared" si="15"/>
        <v>0</v>
      </c>
      <c r="K43" s="13">
        <f t="shared" si="15"/>
        <v>0</v>
      </c>
      <c r="L43" s="13">
        <f t="shared" si="15"/>
        <v>0</v>
      </c>
      <c r="M43" s="13">
        <f t="shared" si="15"/>
        <v>6981.4478855137295</v>
      </c>
      <c r="N43" s="13">
        <f t="shared" si="15"/>
        <v>43138.833139721704</v>
      </c>
      <c r="O43" s="13">
        <f t="shared" si="15"/>
        <v>53941.162658493784</v>
      </c>
      <c r="P43" s="13">
        <f t="shared" si="15"/>
        <v>144341.63350552411</v>
      </c>
      <c r="Q43" s="13">
        <f t="shared" si="15"/>
        <v>0</v>
      </c>
      <c r="R43" s="13">
        <f t="shared" si="15"/>
        <v>5302.8460911045777</v>
      </c>
      <c r="S43" s="13">
        <f t="shared" si="15"/>
        <v>0</v>
      </c>
      <c r="T43" s="13">
        <f t="shared" si="15"/>
        <v>0</v>
      </c>
      <c r="U43" s="13">
        <f t="shared" si="15"/>
        <v>0</v>
      </c>
      <c r="V43" s="13">
        <f t="shared" si="15"/>
        <v>0</v>
      </c>
      <c r="W43" s="13">
        <f t="shared" si="15"/>
        <v>0</v>
      </c>
      <c r="X43" s="13">
        <f t="shared" si="15"/>
        <v>50092.277367211253</v>
      </c>
      <c r="Y43" s="13">
        <f t="shared" si="15"/>
        <v>39627.079265429209</v>
      </c>
      <c r="Z43" s="13">
        <f t="shared" si="15"/>
        <v>0</v>
      </c>
      <c r="AA43" s="13">
        <f t="shared" si="15"/>
        <v>0</v>
      </c>
      <c r="AB43" s="13">
        <f t="shared" si="15"/>
        <v>0</v>
      </c>
      <c r="AC43" s="13">
        <f t="shared" si="15"/>
        <v>0</v>
      </c>
      <c r="AD43" s="13">
        <f t="shared" si="15"/>
        <v>0</v>
      </c>
      <c r="AE43" s="13">
        <f t="shared" si="15"/>
        <v>0</v>
      </c>
      <c r="AF43" s="13">
        <f t="shared" si="15"/>
        <v>0</v>
      </c>
      <c r="AG43" s="13">
        <f t="shared" si="15"/>
        <v>0</v>
      </c>
      <c r="AH43" s="13">
        <f t="shared" si="15"/>
        <v>0</v>
      </c>
      <c r="AI43" s="13">
        <f t="shared" si="15"/>
        <v>0</v>
      </c>
      <c r="AJ43" s="13">
        <f t="shared" ref="AJ43:BO43" si="16">IF(AJ41&gt;$C41,(AJ41-$C41)*AJ12*$C39*$C40,0)</f>
        <v>0</v>
      </c>
      <c r="AK43" s="13">
        <f t="shared" si="16"/>
        <v>0</v>
      </c>
      <c r="AL43" s="13">
        <f t="shared" si="16"/>
        <v>0</v>
      </c>
      <c r="AM43" s="13">
        <f t="shared" si="16"/>
        <v>0</v>
      </c>
      <c r="AN43" s="13">
        <f t="shared" si="16"/>
        <v>0</v>
      </c>
      <c r="AO43" s="13">
        <f t="shared" si="16"/>
        <v>0</v>
      </c>
      <c r="AP43" s="13">
        <f t="shared" si="16"/>
        <v>11750.511629056582</v>
      </c>
      <c r="AQ43" s="13">
        <f t="shared" si="16"/>
        <v>0</v>
      </c>
      <c r="AR43" s="13">
        <f t="shared" si="16"/>
        <v>0</v>
      </c>
      <c r="AS43" s="13">
        <f t="shared" si="16"/>
        <v>0</v>
      </c>
      <c r="AT43" s="13">
        <f t="shared" si="16"/>
        <v>0</v>
      </c>
      <c r="AU43" s="13">
        <f t="shared" si="16"/>
        <v>36824.660767690752</v>
      </c>
      <c r="AV43" s="13">
        <f t="shared" si="16"/>
        <v>15058.586470253842</v>
      </c>
      <c r="AW43" s="13">
        <f t="shared" si="16"/>
        <v>0</v>
      </c>
      <c r="AX43" s="13">
        <f t="shared" si="16"/>
        <v>0</v>
      </c>
      <c r="AY43" s="13">
        <f t="shared" si="16"/>
        <v>55865.61210113945</v>
      </c>
      <c r="AZ43" s="13">
        <f t="shared" si="16"/>
        <v>13499.367260683659</v>
      </c>
      <c r="BA43" s="13">
        <f t="shared" si="16"/>
        <v>0</v>
      </c>
      <c r="BB43" s="13">
        <f t="shared" si="16"/>
        <v>0</v>
      </c>
      <c r="BC43" s="13">
        <f t="shared" si="16"/>
        <v>0</v>
      </c>
      <c r="BD43" s="13">
        <f t="shared" si="16"/>
        <v>7143.0262735114547</v>
      </c>
      <c r="BE43" s="13">
        <f t="shared" si="16"/>
        <v>66688.917175412163</v>
      </c>
      <c r="BF43" s="13">
        <f t="shared" si="16"/>
        <v>118782.83076694925</v>
      </c>
      <c r="BG43" s="13">
        <f t="shared" si="16"/>
        <v>22629.987147482636</v>
      </c>
      <c r="BH43" s="13">
        <f t="shared" si="16"/>
        <v>16898.807434686973</v>
      </c>
      <c r="BI43" s="13">
        <f t="shared" si="16"/>
        <v>0</v>
      </c>
      <c r="BJ43" s="13">
        <f t="shared" si="16"/>
        <v>37386.514743320397</v>
      </c>
      <c r="BK43" s="13">
        <f t="shared" si="16"/>
        <v>0</v>
      </c>
      <c r="BL43" s="13">
        <f t="shared" si="16"/>
        <v>40146.886971996355</v>
      </c>
      <c r="BM43" s="13">
        <f t="shared" si="16"/>
        <v>0</v>
      </c>
      <c r="BN43" s="13">
        <f t="shared" si="16"/>
        <v>48181.81615956896</v>
      </c>
      <c r="BO43" s="13">
        <f t="shared" si="16"/>
        <v>44620.960725672907</v>
      </c>
      <c r="BP43" s="13">
        <f t="shared" ref="BP43:BZ43" si="17">IF(BP41&gt;$C41,(BP41-$C41)*BP12*$C39*$C40,0)</f>
        <v>58745.326132628106</v>
      </c>
      <c r="BQ43" s="13">
        <f t="shared" si="17"/>
        <v>6960.4179539781053</v>
      </c>
      <c r="BR43" s="13">
        <f t="shared" si="17"/>
        <v>104953.61847796537</v>
      </c>
      <c r="BS43" s="13">
        <f t="shared" si="17"/>
        <v>0</v>
      </c>
      <c r="BT43" s="13">
        <f t="shared" si="17"/>
        <v>0</v>
      </c>
      <c r="BU43" s="13">
        <f t="shared" si="17"/>
        <v>0</v>
      </c>
      <c r="BV43" s="13">
        <f t="shared" si="17"/>
        <v>0</v>
      </c>
      <c r="BW43" s="13">
        <f t="shared" si="17"/>
        <v>0</v>
      </c>
      <c r="BX43" s="13">
        <f t="shared" si="17"/>
        <v>0</v>
      </c>
      <c r="BY43" s="13">
        <f t="shared" si="17"/>
        <v>0</v>
      </c>
      <c r="BZ43" s="13">
        <f t="shared" si="17"/>
        <v>13464.308312118459</v>
      </c>
    </row>
    <row r="44" spans="1:80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80" s="19" customFormat="1" x14ac:dyDescent="0.2">
      <c r="A45" s="46" t="s">
        <v>137</v>
      </c>
      <c r="B45" s="44" t="s">
        <v>138</v>
      </c>
      <c r="C45" s="45"/>
      <c r="D45" s="45">
        <f t="shared" ref="D45:J45" si="18">IF(D35+D43&lt;0,0,D35+D43)</f>
        <v>0</v>
      </c>
      <c r="E45" s="45">
        <f t="shared" si="18"/>
        <v>360352.31967961212</v>
      </c>
      <c r="F45" s="45">
        <f t="shared" si="18"/>
        <v>517420.74956746079</v>
      </c>
      <c r="G45" s="45">
        <f t="shared" si="18"/>
        <v>253127.98010266369</v>
      </c>
      <c r="H45" s="45">
        <f t="shared" si="18"/>
        <v>123461.32935735659</v>
      </c>
      <c r="I45" s="45">
        <f t="shared" si="18"/>
        <v>0</v>
      </c>
      <c r="J45" s="45">
        <f t="shared" si="18"/>
        <v>0</v>
      </c>
      <c r="K45" s="45">
        <f t="shared" ref="K45:BT45" si="19">IF(K35+K43&lt;0,0,K35+K43)</f>
        <v>0</v>
      </c>
      <c r="L45" s="45">
        <f t="shared" si="19"/>
        <v>524291.23054176255</v>
      </c>
      <c r="M45" s="45">
        <f t="shared" si="19"/>
        <v>237766.60427034192</v>
      </c>
      <c r="N45" s="45">
        <f t="shared" si="19"/>
        <v>605587.83910882182</v>
      </c>
      <c r="O45" s="45">
        <f t="shared" si="19"/>
        <v>0</v>
      </c>
      <c r="P45" s="45">
        <f t="shared" si="19"/>
        <v>0</v>
      </c>
      <c r="Q45" s="45">
        <f t="shared" si="19"/>
        <v>0</v>
      </c>
      <c r="R45" s="45">
        <f t="shared" si="19"/>
        <v>0</v>
      </c>
      <c r="S45" s="45">
        <f t="shared" si="19"/>
        <v>450281.06083891453</v>
      </c>
      <c r="T45" s="45">
        <f t="shared" si="19"/>
        <v>0</v>
      </c>
      <c r="U45" s="45">
        <f t="shared" si="19"/>
        <v>87363.258829926912</v>
      </c>
      <c r="V45" s="45">
        <f t="shared" si="19"/>
        <v>0</v>
      </c>
      <c r="W45" s="45">
        <f t="shared" si="19"/>
        <v>221411.77698922134</v>
      </c>
      <c r="X45" s="45">
        <f t="shared" si="19"/>
        <v>378107.88336764893</v>
      </c>
      <c r="Y45" s="45">
        <f t="shared" si="19"/>
        <v>0</v>
      </c>
      <c r="Z45" s="45">
        <f t="shared" si="19"/>
        <v>0</v>
      </c>
      <c r="AA45" s="45">
        <f t="shared" si="19"/>
        <v>0</v>
      </c>
      <c r="AB45" s="45">
        <f t="shared" si="19"/>
        <v>125465.47446432379</v>
      </c>
      <c r="AC45" s="45">
        <f t="shared" si="19"/>
        <v>949663.11993810604</v>
      </c>
      <c r="AD45" s="45">
        <f t="shared" si="19"/>
        <v>563144.13301030488</v>
      </c>
      <c r="AE45" s="45">
        <f t="shared" si="19"/>
        <v>0</v>
      </c>
      <c r="AF45" s="45">
        <f t="shared" si="19"/>
        <v>803228.47648312512</v>
      </c>
      <c r="AG45" s="45">
        <f t="shared" si="19"/>
        <v>598730.48953095521</v>
      </c>
      <c r="AH45" s="45">
        <f t="shared" si="19"/>
        <v>267766.55304745038</v>
      </c>
      <c r="AI45" s="45">
        <f t="shared" si="19"/>
        <v>1013396.8698800018</v>
      </c>
      <c r="AJ45" s="45">
        <f t="shared" si="19"/>
        <v>1125069.872575629</v>
      </c>
      <c r="AK45" s="45">
        <f t="shared" si="19"/>
        <v>291060.1879897</v>
      </c>
      <c r="AL45" s="45">
        <f t="shared" si="19"/>
        <v>0</v>
      </c>
      <c r="AM45" s="45">
        <f t="shared" si="19"/>
        <v>0</v>
      </c>
      <c r="AN45" s="45">
        <f t="shared" si="19"/>
        <v>0</v>
      </c>
      <c r="AO45" s="45">
        <f t="shared" si="19"/>
        <v>658269.63761161303</v>
      </c>
      <c r="AP45" s="45">
        <f t="shared" si="19"/>
        <v>452628.54829460365</v>
      </c>
      <c r="AQ45" s="45">
        <f t="shared" si="19"/>
        <v>242882.70516661627</v>
      </c>
      <c r="AR45" s="45">
        <f t="shared" si="19"/>
        <v>0</v>
      </c>
      <c r="AS45" s="45">
        <f t="shared" si="19"/>
        <v>0</v>
      </c>
      <c r="AT45" s="45">
        <f t="shared" si="19"/>
        <v>0</v>
      </c>
      <c r="AU45" s="45">
        <f t="shared" si="19"/>
        <v>1204808.5816506897</v>
      </c>
      <c r="AV45" s="45">
        <f t="shared" si="19"/>
        <v>736437.76944908604</v>
      </c>
      <c r="AW45" s="45">
        <f t="shared" si="19"/>
        <v>395463.70553227601</v>
      </c>
      <c r="AX45" s="45">
        <f t="shared" si="19"/>
        <v>0</v>
      </c>
      <c r="AY45" s="45">
        <f t="shared" si="19"/>
        <v>880303.59447173169</v>
      </c>
      <c r="AZ45" s="45">
        <f t="shared" si="19"/>
        <v>0</v>
      </c>
      <c r="BA45" s="45">
        <f t="shared" si="19"/>
        <v>0</v>
      </c>
      <c r="BB45" s="45">
        <f t="shared" si="19"/>
        <v>810759.11407027091</v>
      </c>
      <c r="BC45" s="45">
        <f t="shared" si="19"/>
        <v>201253.3820004882</v>
      </c>
      <c r="BD45" s="45">
        <f t="shared" si="19"/>
        <v>0</v>
      </c>
      <c r="BE45" s="45">
        <f t="shared" si="19"/>
        <v>102298.37794718132</v>
      </c>
      <c r="BF45" s="45">
        <f t="shared" si="19"/>
        <v>28362.447472178304</v>
      </c>
      <c r="BG45" s="45">
        <f t="shared" si="19"/>
        <v>0</v>
      </c>
      <c r="BH45" s="45">
        <f t="shared" ref="BH45" si="20">IF(BH35+BH43&lt;0,0,BH35+BH43)</f>
        <v>1429188.5137335511</v>
      </c>
      <c r="BI45" s="45">
        <f t="shared" si="19"/>
        <v>623081.7632798088</v>
      </c>
      <c r="BJ45" s="45">
        <f t="shared" si="19"/>
        <v>550310.10595805512</v>
      </c>
      <c r="BK45" s="45">
        <f t="shared" si="19"/>
        <v>1288717.9054728842</v>
      </c>
      <c r="BL45" s="45">
        <f t="shared" si="19"/>
        <v>2627953.8491171193</v>
      </c>
      <c r="BM45" s="45">
        <f t="shared" si="19"/>
        <v>887788.12271615525</v>
      </c>
      <c r="BN45" s="45">
        <f t="shared" si="19"/>
        <v>984107.65283339308</v>
      </c>
      <c r="BO45" s="45">
        <f t="shared" si="19"/>
        <v>1671291.2332767027</v>
      </c>
      <c r="BP45" s="45">
        <f t="shared" si="19"/>
        <v>1047495.9628975065</v>
      </c>
      <c r="BQ45" s="45">
        <f t="shared" si="19"/>
        <v>1242703.6101849284</v>
      </c>
      <c r="BR45" s="45">
        <f t="shared" si="19"/>
        <v>0</v>
      </c>
      <c r="BS45" s="45">
        <f t="shared" si="19"/>
        <v>0</v>
      </c>
      <c r="BT45" s="45">
        <f t="shared" si="19"/>
        <v>241998.27923226316</v>
      </c>
      <c r="BU45" s="45">
        <f t="shared" ref="BU45:BZ45" si="21">IF(BU35+BU43&lt;0,0,BU35+BU43)</f>
        <v>708016.70542857784</v>
      </c>
      <c r="BV45" s="45">
        <f t="shared" si="21"/>
        <v>1232553.8131574299</v>
      </c>
      <c r="BW45" s="45">
        <f t="shared" si="21"/>
        <v>0</v>
      </c>
      <c r="BX45" s="45">
        <f t="shared" si="21"/>
        <v>546560.18588417233</v>
      </c>
      <c r="BY45" s="45">
        <f t="shared" si="21"/>
        <v>1750169.2382262612</v>
      </c>
      <c r="BZ45" s="45">
        <f t="shared" si="21"/>
        <v>419974.30066415871</v>
      </c>
      <c r="CA45" s="44"/>
      <c r="CB45" s="44"/>
    </row>
    <row r="46" spans="1:80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</row>
    <row r="47" spans="1:80" x14ac:dyDescent="0.2">
      <c r="A47" s="46" t="s">
        <v>143</v>
      </c>
      <c r="B47" s="44" t="s">
        <v>139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46"/>
      <c r="CB47" s="46"/>
    </row>
    <row r="48" spans="1:80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</row>
    <row r="49" spans="1:80" x14ac:dyDescent="0.2">
      <c r="B49" t="s">
        <v>141</v>
      </c>
      <c r="C49" s="3"/>
      <c r="D49" s="49">
        <f>'Ressourcenausgleich Basis'!D144</f>
        <v>1.1050855927981791</v>
      </c>
      <c r="E49" s="49">
        <f>'Ressourcenausgleich Basis'!E144</f>
        <v>0.81256363106012575</v>
      </c>
      <c r="F49" s="49">
        <f>'Ressourcenausgleich Basis'!F144</f>
        <v>0.83214123572502385</v>
      </c>
      <c r="G49" s="49">
        <f>'Ressourcenausgleich Basis'!G144</f>
        <v>0.73522592800931885</v>
      </c>
      <c r="H49" s="49">
        <f>'Ressourcenausgleich Basis'!H144</f>
        <v>1.8832390117615831</v>
      </c>
      <c r="I49" s="49">
        <f>'Ressourcenausgleich Basis'!I144</f>
        <v>1.0802814808669692</v>
      </c>
      <c r="J49" s="49">
        <f>'Ressourcenausgleich Basis'!J144</f>
        <v>0.99983863874054502</v>
      </c>
      <c r="K49" s="49">
        <f>'Ressourcenausgleich Basis'!K144</f>
        <v>1.0822626167918978</v>
      </c>
      <c r="L49" s="49">
        <f>'Ressourcenausgleich Basis'!L144</f>
        <v>1.2333108356233773</v>
      </c>
      <c r="M49" s="49">
        <f>'Ressourcenausgleich Basis'!M144</f>
        <v>0.89003716359676754</v>
      </c>
      <c r="N49" s="49">
        <f>'Ressourcenausgleich Basis'!N144</f>
        <v>0.86367643583305309</v>
      </c>
      <c r="O49" s="49">
        <f>'Ressourcenausgleich Basis'!O144</f>
        <v>1.0355090715835151</v>
      </c>
      <c r="P49" s="49">
        <f>'Ressourcenausgleich Basis'!P144</f>
        <v>0.82779021588303192</v>
      </c>
      <c r="Q49" s="49">
        <f>'Ressourcenausgleich Basis'!Q144</f>
        <v>1.1611982329590489</v>
      </c>
      <c r="R49" s="49">
        <f>'Ressourcenausgleich Basis'!R144</f>
        <v>0.80100797782120814</v>
      </c>
      <c r="S49" s="49">
        <f>'Ressourcenausgleich Basis'!S144</f>
        <v>0.92978697781684572</v>
      </c>
      <c r="T49" s="49">
        <f>'Ressourcenausgleich Basis'!T144</f>
        <v>1.0887040638011016</v>
      </c>
      <c r="U49" s="49">
        <f>'Ressourcenausgleich Basis'!U144</f>
        <v>1.1643084936868673</v>
      </c>
      <c r="V49" s="49">
        <f>'Ressourcenausgleich Basis'!V144</f>
        <v>1.6075463785218986</v>
      </c>
      <c r="W49" s="49">
        <f>'Ressourcenausgleich Basis'!W144</f>
        <v>1.0537936070863996</v>
      </c>
      <c r="X49" s="49">
        <f>'Ressourcenausgleich Basis'!X144</f>
        <v>1.1190639397391751</v>
      </c>
      <c r="Y49" s="49">
        <f>'Ressourcenausgleich Basis'!Y144</f>
        <v>1.0051024331421243</v>
      </c>
      <c r="Z49" s="49">
        <f>'Ressourcenausgleich Basis'!Z144</f>
        <v>0.86195101230045368</v>
      </c>
      <c r="AA49" s="49">
        <f>'Ressourcenausgleich Basis'!AA144</f>
        <v>0.95491139738881747</v>
      </c>
      <c r="AB49" s="49">
        <f>'Ressourcenausgleich Basis'!AB144</f>
        <v>0.81252821518405349</v>
      </c>
      <c r="AC49" s="49">
        <f>'Ressourcenausgleich Basis'!AC144</f>
        <v>0.90714434015390066</v>
      </c>
      <c r="AD49" s="49">
        <f>'Ressourcenausgleich Basis'!AD144</f>
        <v>0.85575500656005532</v>
      </c>
      <c r="AE49" s="49">
        <f>'Ressourcenausgleich Basis'!AE144</f>
        <v>1.2101412209518245</v>
      </c>
      <c r="AF49" s="49">
        <f>'Ressourcenausgleich Basis'!AF144</f>
        <v>0.84401577682944218</v>
      </c>
      <c r="AG49" s="49">
        <f>'Ressourcenausgleich Basis'!AG144</f>
        <v>0.87746857081641061</v>
      </c>
      <c r="AH49" s="49">
        <f>'Ressourcenausgleich Basis'!AH144</f>
        <v>0.92965463470452903</v>
      </c>
      <c r="AI49" s="49">
        <f>'Ressourcenausgleich Basis'!AI144</f>
        <v>0.83302636508090355</v>
      </c>
      <c r="AJ49" s="49">
        <f>'Ressourcenausgleich Basis'!AJ144</f>
        <v>0.73077947147316025</v>
      </c>
      <c r="AK49" s="49">
        <f>'Ressourcenausgleich Basis'!AK144</f>
        <v>0.83607239225099028</v>
      </c>
      <c r="AL49" s="49">
        <f>'Ressourcenausgleich Basis'!AL144</f>
        <v>0.81316544459765827</v>
      </c>
      <c r="AM49" s="49">
        <f>'Ressourcenausgleich Basis'!AM144</f>
        <v>1.0342596334375334</v>
      </c>
      <c r="AN49" s="49">
        <f>'Ressourcenausgleich Basis'!AN144</f>
        <v>0.73257423427253587</v>
      </c>
      <c r="AO49" s="49">
        <f>'Ressourcenausgleich Basis'!AO144</f>
        <v>0.79214073830961618</v>
      </c>
      <c r="AP49" s="49">
        <f>'Ressourcenausgleich Basis'!AP144</f>
        <v>0.80770783070632957</v>
      </c>
      <c r="AQ49" s="49">
        <f>'Ressourcenausgleich Basis'!AQ144</f>
        <v>0.86678093844240089</v>
      </c>
      <c r="AR49" s="49">
        <f>'Ressourcenausgleich Basis'!AR144</f>
        <v>0.9544022085182583</v>
      </c>
      <c r="AS49" s="49">
        <f>'Ressourcenausgleich Basis'!AS144</f>
        <v>1.1704703197922812</v>
      </c>
      <c r="AT49" s="49">
        <f>'Ressourcenausgleich Basis'!AT144</f>
        <v>1.0391622186731144</v>
      </c>
      <c r="AU49" s="49">
        <f>'Ressourcenausgleich Basis'!AU144</f>
        <v>0.70426570228247076</v>
      </c>
      <c r="AV49" s="49">
        <f>'Ressourcenausgleich Basis'!AV144</f>
        <v>0.79996777851506584</v>
      </c>
      <c r="AW49" s="49">
        <f>'Ressourcenausgleich Basis'!AW144</f>
        <v>0.78759793350833107</v>
      </c>
      <c r="AX49" s="49">
        <f>'Ressourcenausgleich Basis'!AX144</f>
        <v>1.0700100631207323</v>
      </c>
      <c r="AY49" s="49">
        <f>'Ressourcenausgleich Basis'!AY144</f>
        <v>0.89353288805049669</v>
      </c>
      <c r="AZ49" s="49">
        <f>'Ressourcenausgleich Basis'!AZ144</f>
        <v>1.0197357999351631</v>
      </c>
      <c r="BA49" s="49">
        <f>'Ressourcenausgleich Basis'!BA144</f>
        <v>1.6349009497627873</v>
      </c>
      <c r="BB49" s="49">
        <f>'Ressourcenausgleich Basis'!BB144</f>
        <v>0.92433187767043601</v>
      </c>
      <c r="BC49" s="49">
        <f>'Ressourcenausgleich Basis'!BC144</f>
        <v>0.95733653300582944</v>
      </c>
      <c r="BD49" s="49">
        <f>'Ressourcenausgleich Basis'!BD144</f>
        <v>0.71925749985132748</v>
      </c>
      <c r="BE49" s="49">
        <f>'Ressourcenausgleich Basis'!BE144</f>
        <v>0.7534592913441871</v>
      </c>
      <c r="BF49" s="49">
        <f>'Ressourcenausgleich Basis'!BF144</f>
        <v>0.74800261398733847</v>
      </c>
      <c r="BG49" s="49">
        <f>'Ressourcenausgleich Basis'!BG144</f>
        <v>0.79897431967533683</v>
      </c>
      <c r="BH49" s="49">
        <f>'Ressourcenausgleich Basis'!BH144</f>
        <v>0.64901579954077682</v>
      </c>
      <c r="BI49" s="49">
        <f>'Ressourcenausgleich Basis'!BI144</f>
        <v>0.7655416838121667</v>
      </c>
      <c r="BJ49" s="49">
        <f>'Ressourcenausgleich Basis'!BJ144</f>
        <v>0.73360976356108321</v>
      </c>
      <c r="BK49" s="49">
        <f>'Ressourcenausgleich Basis'!BK144</f>
        <v>0.63178959467780971</v>
      </c>
      <c r="BL49" s="49">
        <f>'Ressourcenausgleich Basis'!BL144</f>
        <v>0.84617557907877083</v>
      </c>
      <c r="BM49" s="49">
        <f>'Ressourcenausgleich Basis'!BM144</f>
        <v>0.90103725361249265</v>
      </c>
      <c r="BN49" s="49">
        <f>'Ressourcenausgleich Basis'!BN144</f>
        <v>0.83720925044223071</v>
      </c>
      <c r="BO49" s="49">
        <f>'Ressourcenausgleich Basis'!BO144</f>
        <v>0.81026472198117239</v>
      </c>
      <c r="BP49" s="49">
        <f>'Ressourcenausgleich Basis'!BP144</f>
        <v>0.76512759096420446</v>
      </c>
      <c r="BQ49" s="49">
        <f>'Ressourcenausgleich Basis'!BQ144</f>
        <v>0.76586582743740872</v>
      </c>
      <c r="BR49" s="49">
        <f>'Ressourcenausgleich Basis'!BR144</f>
        <v>1.0632888925547292</v>
      </c>
      <c r="BS49" s="49">
        <f>'Ressourcenausgleich Basis'!BS144</f>
        <v>1.2658873785799873</v>
      </c>
      <c r="BT49" s="49">
        <f>'Ressourcenausgleich Basis'!BT144</f>
        <v>0.97307628570543625</v>
      </c>
      <c r="BU49" s="49">
        <f>'Ressourcenausgleich Basis'!BU144</f>
        <v>0.82815355374431388</v>
      </c>
      <c r="BV49" s="49">
        <f>'Ressourcenausgleich Basis'!BV144</f>
        <v>0.84104589402751118</v>
      </c>
      <c r="BW49" s="49">
        <f>'Ressourcenausgleich Basis'!BW144</f>
        <v>0.98205938528074588</v>
      </c>
      <c r="BX49" s="49">
        <f>'Ressourcenausgleich Basis'!BX144</f>
        <v>0.96136943665142649</v>
      </c>
      <c r="BY49" s="49">
        <f>'Ressourcenausgleich Basis'!BY144</f>
        <v>0.86204753052058847</v>
      </c>
      <c r="BZ49" s="49">
        <f>'Ressourcenausgleich Basis'!BZ144</f>
        <v>1.113942225191906</v>
      </c>
    </row>
    <row r="50" spans="1:80" x14ac:dyDescent="0.2">
      <c r="C50" s="3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</row>
    <row r="51" spans="1:80" x14ac:dyDescent="0.2">
      <c r="B51" t="s">
        <v>142</v>
      </c>
      <c r="C51" s="3"/>
      <c r="D51" s="49">
        <f>IF(D49&lt;100%,0%,IF(D49&gt;120%,100%,(-100%+D49)/20*100))</f>
        <v>0.52542796399089542</v>
      </c>
      <c r="E51" s="49">
        <f t="shared" ref="E51:BN51" si="22">IF(E49&lt;100%,0%,IF(E49&gt;120%,100%,(-100%+E49)/20*100))</f>
        <v>0</v>
      </c>
      <c r="F51" s="49">
        <f t="shared" si="22"/>
        <v>0</v>
      </c>
      <c r="G51" s="49">
        <f t="shared" si="22"/>
        <v>0</v>
      </c>
      <c r="H51" s="49">
        <f t="shared" si="22"/>
        <v>1</v>
      </c>
      <c r="I51" s="49">
        <f t="shared" si="22"/>
        <v>0.4014074043348459</v>
      </c>
      <c r="J51" s="49">
        <f t="shared" si="22"/>
        <v>0</v>
      </c>
      <c r="K51" s="49">
        <f t="shared" si="22"/>
        <v>0.41131308395948912</v>
      </c>
      <c r="L51" s="49">
        <f t="shared" si="22"/>
        <v>1</v>
      </c>
      <c r="M51" s="49">
        <f t="shared" si="22"/>
        <v>0</v>
      </c>
      <c r="N51" s="49">
        <f t="shared" si="22"/>
        <v>0</v>
      </c>
      <c r="O51" s="49">
        <f t="shared" si="22"/>
        <v>0.17754535791757564</v>
      </c>
      <c r="P51" s="49">
        <f t="shared" si="22"/>
        <v>0</v>
      </c>
      <c r="Q51" s="49">
        <f t="shared" si="22"/>
        <v>0.80599116479524446</v>
      </c>
      <c r="R51" s="49">
        <f t="shared" si="22"/>
        <v>0</v>
      </c>
      <c r="S51" s="49">
        <f t="shared" si="22"/>
        <v>0</v>
      </c>
      <c r="T51" s="49">
        <f t="shared" si="22"/>
        <v>0.44352031900550815</v>
      </c>
      <c r="U51" s="49">
        <f t="shared" si="22"/>
        <v>0.82154246843433643</v>
      </c>
      <c r="V51" s="49">
        <f t="shared" si="22"/>
        <v>1</v>
      </c>
      <c r="W51" s="49">
        <f t="shared" si="22"/>
        <v>0.26896803543199788</v>
      </c>
      <c r="X51" s="49">
        <f t="shared" si="22"/>
        <v>0.59531969869587531</v>
      </c>
      <c r="Y51" s="49">
        <f t="shared" si="22"/>
        <v>2.5512165710621648E-2</v>
      </c>
      <c r="Z51" s="49">
        <f t="shared" si="22"/>
        <v>0</v>
      </c>
      <c r="AA51" s="49">
        <f t="shared" si="22"/>
        <v>0</v>
      </c>
      <c r="AB51" s="49">
        <f t="shared" si="22"/>
        <v>0</v>
      </c>
      <c r="AC51" s="49">
        <f t="shared" si="22"/>
        <v>0</v>
      </c>
      <c r="AD51" s="49">
        <f t="shared" si="22"/>
        <v>0</v>
      </c>
      <c r="AE51" s="49">
        <f t="shared" si="22"/>
        <v>1</v>
      </c>
      <c r="AF51" s="49">
        <f t="shared" si="22"/>
        <v>0</v>
      </c>
      <c r="AG51" s="49">
        <f t="shared" si="22"/>
        <v>0</v>
      </c>
      <c r="AH51" s="49">
        <f t="shared" si="22"/>
        <v>0</v>
      </c>
      <c r="AI51" s="49">
        <f t="shared" si="22"/>
        <v>0</v>
      </c>
      <c r="AJ51" s="49">
        <f t="shared" si="22"/>
        <v>0</v>
      </c>
      <c r="AK51" s="49">
        <f t="shared" si="22"/>
        <v>0</v>
      </c>
      <c r="AL51" s="49">
        <f t="shared" si="22"/>
        <v>0</v>
      </c>
      <c r="AM51" s="49">
        <f t="shared" si="22"/>
        <v>0.17129816718766677</v>
      </c>
      <c r="AN51" s="49">
        <f t="shared" si="22"/>
        <v>0</v>
      </c>
      <c r="AO51" s="49">
        <f t="shared" si="22"/>
        <v>0</v>
      </c>
      <c r="AP51" s="49">
        <f t="shared" si="22"/>
        <v>0</v>
      </c>
      <c r="AQ51" s="49">
        <f t="shared" si="22"/>
        <v>0</v>
      </c>
      <c r="AR51" s="49">
        <f t="shared" si="22"/>
        <v>0</v>
      </c>
      <c r="AS51" s="49">
        <f t="shared" si="22"/>
        <v>0.85235159896140611</v>
      </c>
      <c r="AT51" s="49">
        <f t="shared" si="22"/>
        <v>0.19581109336557212</v>
      </c>
      <c r="AU51" s="49">
        <f t="shared" si="22"/>
        <v>0</v>
      </c>
      <c r="AV51" s="49">
        <f t="shared" si="22"/>
        <v>0</v>
      </c>
      <c r="AW51" s="49">
        <f t="shared" si="22"/>
        <v>0</v>
      </c>
      <c r="AX51" s="49">
        <f t="shared" si="22"/>
        <v>0.35005031560366162</v>
      </c>
      <c r="AY51" s="49">
        <f t="shared" si="22"/>
        <v>0</v>
      </c>
      <c r="AZ51" s="49">
        <f t="shared" si="22"/>
        <v>9.8678999675815282E-2</v>
      </c>
      <c r="BA51" s="49">
        <f t="shared" si="22"/>
        <v>1</v>
      </c>
      <c r="BB51" s="49">
        <f t="shared" si="22"/>
        <v>0</v>
      </c>
      <c r="BC51" s="49">
        <f t="shared" si="22"/>
        <v>0</v>
      </c>
      <c r="BD51" s="49">
        <f t="shared" si="22"/>
        <v>0</v>
      </c>
      <c r="BE51" s="49">
        <f t="shared" si="22"/>
        <v>0</v>
      </c>
      <c r="BF51" s="49">
        <f t="shared" si="22"/>
        <v>0</v>
      </c>
      <c r="BG51" s="49">
        <f t="shared" si="22"/>
        <v>0</v>
      </c>
      <c r="BH51" s="49">
        <f t="shared" ref="BH51" si="23">IF(BH49&lt;100%,0%,IF(BH49&gt;120%,100%,(-100%+BH49)/20*100))</f>
        <v>0</v>
      </c>
      <c r="BI51" s="49">
        <f t="shared" si="22"/>
        <v>0</v>
      </c>
      <c r="BJ51" s="49">
        <f t="shared" si="22"/>
        <v>0</v>
      </c>
      <c r="BK51" s="49">
        <f t="shared" si="22"/>
        <v>0</v>
      </c>
      <c r="BL51" s="49">
        <f t="shared" si="22"/>
        <v>0</v>
      </c>
      <c r="BM51" s="49">
        <f t="shared" si="22"/>
        <v>0</v>
      </c>
      <c r="BN51" s="49">
        <f t="shared" si="22"/>
        <v>0</v>
      </c>
      <c r="BO51" s="49">
        <f t="shared" ref="BO51:BZ51" si="24">IF(BO49&lt;100%,0%,IF(BO49&gt;120%,100%,(-100%+BO49)/20*100))</f>
        <v>0</v>
      </c>
      <c r="BP51" s="49">
        <f t="shared" si="24"/>
        <v>0</v>
      </c>
      <c r="BQ51" s="49">
        <f t="shared" si="24"/>
        <v>0</v>
      </c>
      <c r="BR51" s="49">
        <f t="shared" si="24"/>
        <v>0.31644446277364624</v>
      </c>
      <c r="BS51" s="49">
        <f t="shared" si="24"/>
        <v>1</v>
      </c>
      <c r="BT51" s="49">
        <f t="shared" si="24"/>
        <v>0</v>
      </c>
      <c r="BU51" s="49">
        <f t="shared" si="24"/>
        <v>0</v>
      </c>
      <c r="BV51" s="49">
        <f t="shared" si="24"/>
        <v>0</v>
      </c>
      <c r="BW51" s="49">
        <f t="shared" si="24"/>
        <v>0</v>
      </c>
      <c r="BX51" s="49">
        <f t="shared" si="24"/>
        <v>0</v>
      </c>
      <c r="BY51" s="49">
        <f t="shared" si="24"/>
        <v>0</v>
      </c>
      <c r="BZ51" s="49">
        <f t="shared" si="24"/>
        <v>0.56971112595953</v>
      </c>
    </row>
    <row r="52" spans="1:80" s="3" customFormat="1" x14ac:dyDescent="0.2">
      <c r="B52" s="3" t="s">
        <v>146</v>
      </c>
      <c r="D52" s="3">
        <f t="shared" ref="D52:AI52" si="25">D45*-D51</f>
        <v>0</v>
      </c>
      <c r="E52" s="3">
        <f t="shared" si="25"/>
        <v>0</v>
      </c>
      <c r="F52" s="3">
        <f t="shared" si="25"/>
        <v>0</v>
      </c>
      <c r="G52" s="3">
        <f t="shared" si="25"/>
        <v>0</v>
      </c>
      <c r="H52" s="3">
        <f t="shared" si="25"/>
        <v>-123461.32935735659</v>
      </c>
      <c r="I52" s="3">
        <f t="shared" si="25"/>
        <v>0</v>
      </c>
      <c r="J52" s="3">
        <f t="shared" si="25"/>
        <v>0</v>
      </c>
      <c r="K52" s="3">
        <f t="shared" si="25"/>
        <v>0</v>
      </c>
      <c r="L52" s="3">
        <f t="shared" si="25"/>
        <v>-524291.23054176255</v>
      </c>
      <c r="M52" s="3">
        <f t="shared" si="25"/>
        <v>0</v>
      </c>
      <c r="N52" s="3">
        <f t="shared" si="25"/>
        <v>0</v>
      </c>
      <c r="O52" s="3">
        <f t="shared" si="25"/>
        <v>0</v>
      </c>
      <c r="P52" s="3">
        <f t="shared" si="25"/>
        <v>0</v>
      </c>
      <c r="Q52" s="3">
        <f t="shared" si="25"/>
        <v>0</v>
      </c>
      <c r="R52" s="3">
        <f t="shared" si="25"/>
        <v>0</v>
      </c>
      <c r="S52" s="3">
        <f t="shared" si="25"/>
        <v>0</v>
      </c>
      <c r="T52" s="3">
        <f t="shared" si="25"/>
        <v>0</v>
      </c>
      <c r="U52" s="3">
        <f t="shared" si="25"/>
        <v>-71772.627309605989</v>
      </c>
      <c r="V52" s="3">
        <f t="shared" si="25"/>
        <v>0</v>
      </c>
      <c r="W52" s="3">
        <f t="shared" si="25"/>
        <v>-59552.690678298495</v>
      </c>
      <c r="X52" s="3">
        <f t="shared" si="25"/>
        <v>-225095.07120096392</v>
      </c>
      <c r="Y52" s="3">
        <f t="shared" si="25"/>
        <v>0</v>
      </c>
      <c r="Z52" s="3">
        <f t="shared" si="25"/>
        <v>0</v>
      </c>
      <c r="AA52" s="3">
        <f t="shared" si="25"/>
        <v>0</v>
      </c>
      <c r="AB52" s="3">
        <f t="shared" si="25"/>
        <v>0</v>
      </c>
      <c r="AC52" s="3">
        <f t="shared" si="25"/>
        <v>0</v>
      </c>
      <c r="AD52" s="3">
        <f t="shared" si="25"/>
        <v>0</v>
      </c>
      <c r="AE52" s="3">
        <f t="shared" si="25"/>
        <v>0</v>
      </c>
      <c r="AF52" s="3">
        <f t="shared" si="25"/>
        <v>0</v>
      </c>
      <c r="AG52" s="3">
        <f t="shared" si="25"/>
        <v>0</v>
      </c>
      <c r="AH52" s="3">
        <f t="shared" si="25"/>
        <v>0</v>
      </c>
      <c r="AI52" s="3">
        <f t="shared" si="25"/>
        <v>0</v>
      </c>
      <c r="AJ52" s="3">
        <f t="shared" ref="AJ52:BM52" si="26">AJ45*-AJ51</f>
        <v>0</v>
      </c>
      <c r="AK52" s="3">
        <f t="shared" si="26"/>
        <v>0</v>
      </c>
      <c r="AL52" s="3">
        <f t="shared" si="26"/>
        <v>0</v>
      </c>
      <c r="AM52" s="3">
        <f t="shared" si="26"/>
        <v>0</v>
      </c>
      <c r="AN52" s="3">
        <f t="shared" si="26"/>
        <v>0</v>
      </c>
      <c r="AO52" s="3">
        <f t="shared" si="26"/>
        <v>0</v>
      </c>
      <c r="AP52" s="3">
        <f t="shared" si="26"/>
        <v>0</v>
      </c>
      <c r="AQ52" s="3">
        <f t="shared" si="26"/>
        <v>0</v>
      </c>
      <c r="AR52" s="3">
        <f t="shared" si="26"/>
        <v>0</v>
      </c>
      <c r="AS52" s="3">
        <f t="shared" si="26"/>
        <v>0</v>
      </c>
      <c r="AT52" s="3">
        <f t="shared" si="26"/>
        <v>0</v>
      </c>
      <c r="AU52" s="3">
        <f t="shared" si="26"/>
        <v>0</v>
      </c>
      <c r="AV52" s="3">
        <f t="shared" si="26"/>
        <v>0</v>
      </c>
      <c r="AW52" s="3">
        <f t="shared" si="26"/>
        <v>0</v>
      </c>
      <c r="AX52" s="3">
        <f t="shared" si="26"/>
        <v>0</v>
      </c>
      <c r="AY52" s="3">
        <f t="shared" si="26"/>
        <v>0</v>
      </c>
      <c r="AZ52" s="3">
        <f t="shared" si="26"/>
        <v>0</v>
      </c>
      <c r="BA52" s="3">
        <f t="shared" si="26"/>
        <v>0</v>
      </c>
      <c r="BB52" s="3">
        <f t="shared" si="26"/>
        <v>0</v>
      </c>
      <c r="BC52" s="3">
        <f t="shared" si="26"/>
        <v>0</v>
      </c>
      <c r="BD52" s="3">
        <f t="shared" si="26"/>
        <v>0</v>
      </c>
      <c r="BE52" s="3">
        <f t="shared" si="26"/>
        <v>0</v>
      </c>
      <c r="BF52" s="3">
        <f t="shared" si="26"/>
        <v>0</v>
      </c>
      <c r="BG52" s="3">
        <f t="shared" si="26"/>
        <v>0</v>
      </c>
      <c r="BH52" s="3">
        <f t="shared" ref="BH52" si="27">BH45*-BH51</f>
        <v>0</v>
      </c>
      <c r="BI52" s="3">
        <f t="shared" si="26"/>
        <v>0</v>
      </c>
      <c r="BJ52" s="3">
        <f t="shared" si="26"/>
        <v>0</v>
      </c>
      <c r="BK52" s="3">
        <f t="shared" si="26"/>
        <v>0</v>
      </c>
      <c r="BL52" s="3">
        <f t="shared" si="26"/>
        <v>0</v>
      </c>
      <c r="BM52" s="3">
        <f t="shared" si="26"/>
        <v>0</v>
      </c>
      <c r="BN52" s="3">
        <f t="shared" ref="BN52:BZ52" si="28">BN45*-BN51</f>
        <v>0</v>
      </c>
      <c r="BO52" s="3">
        <f t="shared" si="28"/>
        <v>0</v>
      </c>
      <c r="BP52" s="3">
        <f t="shared" si="28"/>
        <v>0</v>
      </c>
      <c r="BQ52" s="3">
        <f t="shared" si="28"/>
        <v>0</v>
      </c>
      <c r="BR52" s="3">
        <f t="shared" si="28"/>
        <v>0</v>
      </c>
      <c r="BS52" s="3">
        <f t="shared" si="28"/>
        <v>0</v>
      </c>
      <c r="BT52" s="3">
        <f t="shared" si="28"/>
        <v>0</v>
      </c>
      <c r="BU52" s="3">
        <f t="shared" si="28"/>
        <v>0</v>
      </c>
      <c r="BV52" s="3">
        <f t="shared" si="28"/>
        <v>0</v>
      </c>
      <c r="BW52" s="3">
        <f t="shared" si="28"/>
        <v>0</v>
      </c>
      <c r="BX52" s="3">
        <f t="shared" si="28"/>
        <v>0</v>
      </c>
      <c r="BY52" s="3">
        <f t="shared" si="28"/>
        <v>0</v>
      </c>
      <c r="BZ52" s="3">
        <f t="shared" si="28"/>
        <v>-239264.03170544404</v>
      </c>
    </row>
    <row r="53" spans="1:80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80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</row>
    <row r="55" spans="1:80" s="41" customFormat="1" ht="15.75" x14ac:dyDescent="0.25">
      <c r="A55" s="51" t="s">
        <v>99</v>
      </c>
      <c r="B55" s="51" t="s">
        <v>144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1"/>
      <c r="CB55" s="51"/>
    </row>
    <row r="56" spans="1:80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</row>
    <row r="57" spans="1:80" x14ac:dyDescent="0.2">
      <c r="B57" t="s">
        <v>127</v>
      </c>
      <c r="C57" s="3">
        <f>SUM(D57:BZ57)</f>
        <v>21313353.812124602</v>
      </c>
      <c r="D57" s="3">
        <f t="shared" ref="D57:AI57" si="29">D35</f>
        <v>-4094692.9683784465</v>
      </c>
      <c r="E57" s="3">
        <f t="shared" si="29"/>
        <v>297547.37393206521</v>
      </c>
      <c r="F57" s="3">
        <f t="shared" si="29"/>
        <v>517420.74956746079</v>
      </c>
      <c r="G57" s="3">
        <f t="shared" si="29"/>
        <v>250929.58419569614</v>
      </c>
      <c r="H57" s="3">
        <f t="shared" si="29"/>
        <v>123461.32935735659</v>
      </c>
      <c r="I57" s="3">
        <f t="shared" si="29"/>
        <v>-232630.9559058272</v>
      </c>
      <c r="J57" s="3">
        <f t="shared" si="29"/>
        <v>-146870.36762475927</v>
      </c>
      <c r="K57" s="3">
        <f t="shared" si="29"/>
        <v>-15091.372502547492</v>
      </c>
      <c r="L57" s="3">
        <f t="shared" si="29"/>
        <v>524291.23054176255</v>
      </c>
      <c r="M57" s="3">
        <f t="shared" si="29"/>
        <v>230785.15638482818</v>
      </c>
      <c r="N57" s="3">
        <f t="shared" si="29"/>
        <v>562449.00596910017</v>
      </c>
      <c r="O57" s="3">
        <f t="shared" si="29"/>
        <v>-504100.87749483273</v>
      </c>
      <c r="P57" s="3">
        <f t="shared" si="29"/>
        <v>-499439.61763137218</v>
      </c>
      <c r="Q57" s="3">
        <f t="shared" si="29"/>
        <v>-284735.70181421487</v>
      </c>
      <c r="R57" s="3">
        <f t="shared" si="29"/>
        <v>-342209.01605839934</v>
      </c>
      <c r="S57" s="3">
        <f t="shared" si="29"/>
        <v>450281.06083891453</v>
      </c>
      <c r="T57" s="3">
        <f t="shared" si="29"/>
        <v>-213723.94020485287</v>
      </c>
      <c r="U57" s="3">
        <f t="shared" si="29"/>
        <v>87363.258829926912</v>
      </c>
      <c r="V57" s="3">
        <f t="shared" si="29"/>
        <v>-64716.283595847817</v>
      </c>
      <c r="W57" s="3">
        <f t="shared" si="29"/>
        <v>221411.77698922134</v>
      </c>
      <c r="X57" s="3">
        <f t="shared" si="29"/>
        <v>328015.60600043769</v>
      </c>
      <c r="Y57" s="3">
        <f t="shared" si="29"/>
        <v>-210385.56544037387</v>
      </c>
      <c r="Z57" s="3">
        <f t="shared" si="29"/>
        <v>-74187.399535738732</v>
      </c>
      <c r="AA57" s="3">
        <f t="shared" si="29"/>
        <v>-207970.60940755802</v>
      </c>
      <c r="AB57" s="3">
        <f t="shared" si="29"/>
        <v>125465.47446432379</v>
      </c>
      <c r="AC57" s="3">
        <f t="shared" si="29"/>
        <v>949663.11993810604</v>
      </c>
      <c r="AD57" s="3">
        <f t="shared" si="29"/>
        <v>563144.13301030488</v>
      </c>
      <c r="AE57" s="3">
        <f t="shared" si="29"/>
        <v>-344743.86319771165</v>
      </c>
      <c r="AF57" s="3">
        <f t="shared" si="29"/>
        <v>803228.47648312512</v>
      </c>
      <c r="AG57" s="3">
        <f t="shared" si="29"/>
        <v>598730.48953095521</v>
      </c>
      <c r="AH57" s="3">
        <f t="shared" si="29"/>
        <v>267766.55304745038</v>
      </c>
      <c r="AI57" s="3">
        <f t="shared" si="29"/>
        <v>1013396.8698800018</v>
      </c>
      <c r="AJ57" s="3">
        <f t="shared" ref="AJ57:BM57" si="30">AJ35</f>
        <v>1125069.872575629</v>
      </c>
      <c r="AK57" s="3">
        <f t="shared" si="30"/>
        <v>291060.1879897</v>
      </c>
      <c r="AL57" s="3">
        <f t="shared" si="30"/>
        <v>-11101.97286162542</v>
      </c>
      <c r="AM57" s="3">
        <f t="shared" si="30"/>
        <v>-390919.0316837111</v>
      </c>
      <c r="AN57" s="3">
        <f t="shared" si="30"/>
        <v>-3811.0863739234119</v>
      </c>
      <c r="AO57" s="3">
        <f t="shared" si="30"/>
        <v>658269.63761161303</v>
      </c>
      <c r="AP57" s="3">
        <f t="shared" si="30"/>
        <v>440878.03666554706</v>
      </c>
      <c r="AQ57" s="3">
        <f t="shared" si="30"/>
        <v>242882.70516661627</v>
      </c>
      <c r="AR57" s="3">
        <f t="shared" si="30"/>
        <v>-152971.26139236067</v>
      </c>
      <c r="AS57" s="3">
        <f t="shared" si="30"/>
        <v>-139591.8589655016</v>
      </c>
      <c r="AT57" s="3">
        <f t="shared" si="30"/>
        <v>-101298.28363865805</v>
      </c>
      <c r="AU57" s="3">
        <f t="shared" si="30"/>
        <v>1167983.920882999</v>
      </c>
      <c r="AV57" s="3">
        <f t="shared" si="30"/>
        <v>721379.18297883216</v>
      </c>
      <c r="AW57" s="3">
        <f t="shared" si="30"/>
        <v>395463.70553227601</v>
      </c>
      <c r="AX57" s="3">
        <f t="shared" si="30"/>
        <v>-276360.84988402791</v>
      </c>
      <c r="AY57" s="3">
        <f t="shared" si="30"/>
        <v>824437.98237059219</v>
      </c>
      <c r="AZ57" s="3">
        <f t="shared" si="30"/>
        <v>-73061.172904373147</v>
      </c>
      <c r="BA57" s="3">
        <f t="shared" si="30"/>
        <v>-1241835.0949737499</v>
      </c>
      <c r="BB57" s="3">
        <f t="shared" si="30"/>
        <v>810759.11407027091</v>
      </c>
      <c r="BC57" s="3">
        <f t="shared" si="30"/>
        <v>201253.3820004882</v>
      </c>
      <c r="BD57" s="3">
        <f t="shared" si="30"/>
        <v>-69948.947024841036</v>
      </c>
      <c r="BE57" s="3">
        <f t="shared" si="30"/>
        <v>35609.460771769147</v>
      </c>
      <c r="BF57" s="3">
        <f t="shared" si="30"/>
        <v>-90420.383294770945</v>
      </c>
      <c r="BG57" s="3">
        <f t="shared" si="30"/>
        <v>-147796.83412557928</v>
      </c>
      <c r="BH57" s="3">
        <f t="shared" ref="BH57" si="31">BH35</f>
        <v>1412289.7062988642</v>
      </c>
      <c r="BI57" s="3">
        <f t="shared" si="30"/>
        <v>623081.7632798088</v>
      </c>
      <c r="BJ57" s="3">
        <f t="shared" si="30"/>
        <v>512923.59121473471</v>
      </c>
      <c r="BK57" s="3">
        <f t="shared" si="30"/>
        <v>1288717.9054728842</v>
      </c>
      <c r="BL57" s="3">
        <f t="shared" si="30"/>
        <v>2587806.9621451232</v>
      </c>
      <c r="BM57" s="3">
        <f t="shared" si="30"/>
        <v>887788.12271615525</v>
      </c>
      <c r="BN57" s="3">
        <f t="shared" ref="BN57:BZ57" si="32">BN35</f>
        <v>935925.83667382412</v>
      </c>
      <c r="BO57" s="3">
        <f t="shared" si="32"/>
        <v>1626670.2725510297</v>
      </c>
      <c r="BP57" s="3">
        <f t="shared" si="32"/>
        <v>988750.63676487841</v>
      </c>
      <c r="BQ57" s="3">
        <f t="shared" si="32"/>
        <v>1235743.1922309503</v>
      </c>
      <c r="BR57" s="3">
        <f t="shared" si="32"/>
        <v>-328336.22092600074</v>
      </c>
      <c r="BS57" s="3">
        <f t="shared" si="32"/>
        <v>-17051.325390109545</v>
      </c>
      <c r="BT57" s="3">
        <f t="shared" si="32"/>
        <v>241998.27923226316</v>
      </c>
      <c r="BU57" s="3">
        <f t="shared" si="32"/>
        <v>708016.70542857784</v>
      </c>
      <c r="BV57" s="3">
        <f t="shared" si="32"/>
        <v>1232553.8131574299</v>
      </c>
      <c r="BW57" s="3">
        <f t="shared" si="32"/>
        <v>-222547.96685004837</v>
      </c>
      <c r="BX57" s="3">
        <f t="shared" si="32"/>
        <v>546560.18588417233</v>
      </c>
      <c r="BY57" s="3">
        <f t="shared" si="32"/>
        <v>1750169.2382262612</v>
      </c>
      <c r="BZ57" s="3">
        <f t="shared" si="32"/>
        <v>406509.99235204025</v>
      </c>
    </row>
    <row r="58" spans="1:80" x14ac:dyDescent="0.2">
      <c r="B58" t="s">
        <v>123</v>
      </c>
      <c r="C58" s="3">
        <f>SUM(D58:BZ58)</f>
        <v>1271811.5499641618</v>
      </c>
      <c r="D58" s="3">
        <f t="shared" ref="D58:AI58" si="33">D43</f>
        <v>87858.934971205497</v>
      </c>
      <c r="E58" s="3">
        <f t="shared" si="33"/>
        <v>62804.945747546903</v>
      </c>
      <c r="F58" s="3">
        <f t="shared" si="33"/>
        <v>0</v>
      </c>
      <c r="G58" s="3">
        <f t="shared" si="33"/>
        <v>2198.3959069675498</v>
      </c>
      <c r="H58" s="3">
        <f t="shared" si="33"/>
        <v>0</v>
      </c>
      <c r="I58" s="3">
        <f t="shared" si="33"/>
        <v>55921.836921327762</v>
      </c>
      <c r="J58" s="3">
        <f t="shared" si="33"/>
        <v>0</v>
      </c>
      <c r="K58" s="3">
        <f t="shared" si="33"/>
        <v>0</v>
      </c>
      <c r="L58" s="3">
        <f t="shared" si="33"/>
        <v>0</v>
      </c>
      <c r="M58" s="3">
        <f t="shared" si="33"/>
        <v>6981.4478855137295</v>
      </c>
      <c r="N58" s="3">
        <f t="shared" si="33"/>
        <v>43138.833139721704</v>
      </c>
      <c r="O58" s="3">
        <f t="shared" si="33"/>
        <v>53941.162658493784</v>
      </c>
      <c r="P58" s="3">
        <f t="shared" si="33"/>
        <v>144341.63350552411</v>
      </c>
      <c r="Q58" s="3">
        <f t="shared" si="33"/>
        <v>0</v>
      </c>
      <c r="R58" s="3">
        <f t="shared" si="33"/>
        <v>5302.8460911045777</v>
      </c>
      <c r="S58" s="3">
        <f t="shared" si="33"/>
        <v>0</v>
      </c>
      <c r="T58" s="3">
        <f t="shared" si="33"/>
        <v>0</v>
      </c>
      <c r="U58" s="3">
        <f t="shared" si="33"/>
        <v>0</v>
      </c>
      <c r="V58" s="3">
        <f t="shared" si="33"/>
        <v>0</v>
      </c>
      <c r="W58" s="3">
        <f t="shared" si="33"/>
        <v>0</v>
      </c>
      <c r="X58" s="3">
        <f t="shared" si="33"/>
        <v>50092.277367211253</v>
      </c>
      <c r="Y58" s="3">
        <f t="shared" si="33"/>
        <v>39627.079265429209</v>
      </c>
      <c r="Z58" s="3">
        <f t="shared" si="33"/>
        <v>0</v>
      </c>
      <c r="AA58" s="3">
        <f t="shared" si="33"/>
        <v>0</v>
      </c>
      <c r="AB58" s="3">
        <f t="shared" si="33"/>
        <v>0</v>
      </c>
      <c r="AC58" s="3">
        <f t="shared" si="33"/>
        <v>0</v>
      </c>
      <c r="AD58" s="3">
        <f t="shared" si="33"/>
        <v>0</v>
      </c>
      <c r="AE58" s="3">
        <f t="shared" si="33"/>
        <v>0</v>
      </c>
      <c r="AF58" s="3">
        <f t="shared" si="33"/>
        <v>0</v>
      </c>
      <c r="AG58" s="3">
        <f t="shared" si="33"/>
        <v>0</v>
      </c>
      <c r="AH58" s="3">
        <f t="shared" si="33"/>
        <v>0</v>
      </c>
      <c r="AI58" s="3">
        <f t="shared" si="33"/>
        <v>0</v>
      </c>
      <c r="AJ58" s="3">
        <f t="shared" ref="AJ58:BM58" si="34">AJ43</f>
        <v>0</v>
      </c>
      <c r="AK58" s="3">
        <f t="shared" si="34"/>
        <v>0</v>
      </c>
      <c r="AL58" s="3">
        <f t="shared" si="34"/>
        <v>0</v>
      </c>
      <c r="AM58" s="3">
        <f t="shared" si="34"/>
        <v>0</v>
      </c>
      <c r="AN58" s="3">
        <f t="shared" si="34"/>
        <v>0</v>
      </c>
      <c r="AO58" s="3">
        <f t="shared" si="34"/>
        <v>0</v>
      </c>
      <c r="AP58" s="3">
        <f t="shared" si="34"/>
        <v>11750.511629056582</v>
      </c>
      <c r="AQ58" s="3">
        <f t="shared" si="34"/>
        <v>0</v>
      </c>
      <c r="AR58" s="3">
        <f t="shared" si="34"/>
        <v>0</v>
      </c>
      <c r="AS58" s="3">
        <f t="shared" si="34"/>
        <v>0</v>
      </c>
      <c r="AT58" s="3">
        <f t="shared" si="34"/>
        <v>0</v>
      </c>
      <c r="AU58" s="3">
        <f t="shared" si="34"/>
        <v>36824.660767690752</v>
      </c>
      <c r="AV58" s="3">
        <f t="shared" si="34"/>
        <v>15058.586470253842</v>
      </c>
      <c r="AW58" s="3">
        <f t="shared" si="34"/>
        <v>0</v>
      </c>
      <c r="AX58" s="3">
        <f t="shared" si="34"/>
        <v>0</v>
      </c>
      <c r="AY58" s="3">
        <f t="shared" si="34"/>
        <v>55865.61210113945</v>
      </c>
      <c r="AZ58" s="3">
        <f t="shared" si="34"/>
        <v>13499.367260683659</v>
      </c>
      <c r="BA58" s="3">
        <f t="shared" si="34"/>
        <v>0</v>
      </c>
      <c r="BB58" s="3">
        <f t="shared" si="34"/>
        <v>0</v>
      </c>
      <c r="BC58" s="3">
        <f t="shared" si="34"/>
        <v>0</v>
      </c>
      <c r="BD58" s="3">
        <f t="shared" si="34"/>
        <v>7143.0262735114547</v>
      </c>
      <c r="BE58" s="3">
        <f t="shared" si="34"/>
        <v>66688.917175412163</v>
      </c>
      <c r="BF58" s="3">
        <f t="shared" si="34"/>
        <v>118782.83076694925</v>
      </c>
      <c r="BG58" s="3">
        <f t="shared" si="34"/>
        <v>22629.987147482636</v>
      </c>
      <c r="BH58" s="3">
        <f t="shared" ref="BH58" si="35">BH43</f>
        <v>16898.807434686973</v>
      </c>
      <c r="BI58" s="3">
        <f t="shared" si="34"/>
        <v>0</v>
      </c>
      <c r="BJ58" s="3">
        <f t="shared" si="34"/>
        <v>37386.514743320397</v>
      </c>
      <c r="BK58" s="3">
        <f t="shared" si="34"/>
        <v>0</v>
      </c>
      <c r="BL58" s="3">
        <f t="shared" si="34"/>
        <v>40146.886971996355</v>
      </c>
      <c r="BM58" s="3">
        <f t="shared" si="34"/>
        <v>0</v>
      </c>
      <c r="BN58" s="3">
        <f t="shared" ref="BN58:BZ58" si="36">BN43</f>
        <v>48181.81615956896</v>
      </c>
      <c r="BO58" s="3">
        <f t="shared" si="36"/>
        <v>44620.960725672907</v>
      </c>
      <c r="BP58" s="3">
        <f t="shared" si="36"/>
        <v>58745.326132628106</v>
      </c>
      <c r="BQ58" s="3">
        <f t="shared" si="36"/>
        <v>6960.4179539781053</v>
      </c>
      <c r="BR58" s="3">
        <f t="shared" si="36"/>
        <v>104953.61847796537</v>
      </c>
      <c r="BS58" s="3">
        <f t="shared" si="36"/>
        <v>0</v>
      </c>
      <c r="BT58" s="3">
        <f t="shared" si="36"/>
        <v>0</v>
      </c>
      <c r="BU58" s="3">
        <f t="shared" si="36"/>
        <v>0</v>
      </c>
      <c r="BV58" s="3">
        <f t="shared" si="36"/>
        <v>0</v>
      </c>
      <c r="BW58" s="3">
        <f t="shared" si="36"/>
        <v>0</v>
      </c>
      <c r="BX58" s="3">
        <f t="shared" si="36"/>
        <v>0</v>
      </c>
      <c r="BY58" s="3">
        <f t="shared" si="36"/>
        <v>0</v>
      </c>
      <c r="BZ58" s="3">
        <f t="shared" si="36"/>
        <v>13464.308312118459</v>
      </c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s="19" customFormat="1" x14ac:dyDescent="0.2">
      <c r="B60" s="19" t="s">
        <v>138</v>
      </c>
      <c r="C60" s="13">
        <f>SUM(D60:BZ60)</f>
        <v>32462076.315303039</v>
      </c>
      <c r="D60" s="13">
        <f t="shared" ref="D60:AI60" si="37">D45</f>
        <v>0</v>
      </c>
      <c r="E60" s="13">
        <f t="shared" si="37"/>
        <v>360352.31967961212</v>
      </c>
      <c r="F60" s="13">
        <f t="shared" si="37"/>
        <v>517420.74956746079</v>
      </c>
      <c r="G60" s="13">
        <f t="shared" si="37"/>
        <v>253127.98010266369</v>
      </c>
      <c r="H60" s="13">
        <f t="shared" si="37"/>
        <v>123461.32935735659</v>
      </c>
      <c r="I60" s="13">
        <f t="shared" si="37"/>
        <v>0</v>
      </c>
      <c r="J60" s="13">
        <f t="shared" si="37"/>
        <v>0</v>
      </c>
      <c r="K60" s="13">
        <f t="shared" si="37"/>
        <v>0</v>
      </c>
      <c r="L60" s="13">
        <f t="shared" si="37"/>
        <v>524291.23054176255</v>
      </c>
      <c r="M60" s="13">
        <f t="shared" si="37"/>
        <v>237766.60427034192</v>
      </c>
      <c r="N60" s="13">
        <f t="shared" si="37"/>
        <v>605587.83910882182</v>
      </c>
      <c r="O60" s="13">
        <f t="shared" si="37"/>
        <v>0</v>
      </c>
      <c r="P60" s="13">
        <f t="shared" si="37"/>
        <v>0</v>
      </c>
      <c r="Q60" s="13">
        <f t="shared" si="37"/>
        <v>0</v>
      </c>
      <c r="R60" s="13">
        <f t="shared" si="37"/>
        <v>0</v>
      </c>
      <c r="S60" s="13">
        <f t="shared" si="37"/>
        <v>450281.06083891453</v>
      </c>
      <c r="T60" s="13">
        <f t="shared" si="37"/>
        <v>0</v>
      </c>
      <c r="U60" s="13">
        <f t="shared" si="37"/>
        <v>87363.258829926912</v>
      </c>
      <c r="V60" s="13">
        <f t="shared" si="37"/>
        <v>0</v>
      </c>
      <c r="W60" s="13">
        <f t="shared" si="37"/>
        <v>221411.77698922134</v>
      </c>
      <c r="X60" s="13">
        <f t="shared" si="37"/>
        <v>378107.88336764893</v>
      </c>
      <c r="Y60" s="13">
        <f t="shared" si="37"/>
        <v>0</v>
      </c>
      <c r="Z60" s="13">
        <f t="shared" si="37"/>
        <v>0</v>
      </c>
      <c r="AA60" s="13">
        <f t="shared" si="37"/>
        <v>0</v>
      </c>
      <c r="AB60" s="13">
        <f t="shared" si="37"/>
        <v>125465.47446432379</v>
      </c>
      <c r="AC60" s="13">
        <f t="shared" si="37"/>
        <v>949663.11993810604</v>
      </c>
      <c r="AD60" s="13">
        <f t="shared" si="37"/>
        <v>563144.13301030488</v>
      </c>
      <c r="AE60" s="13">
        <f t="shared" si="37"/>
        <v>0</v>
      </c>
      <c r="AF60" s="13">
        <f t="shared" si="37"/>
        <v>803228.47648312512</v>
      </c>
      <c r="AG60" s="13">
        <f t="shared" si="37"/>
        <v>598730.48953095521</v>
      </c>
      <c r="AH60" s="13">
        <f t="shared" si="37"/>
        <v>267766.55304745038</v>
      </c>
      <c r="AI60" s="13">
        <f t="shared" si="37"/>
        <v>1013396.8698800018</v>
      </c>
      <c r="AJ60" s="13">
        <f t="shared" ref="AJ60:BM60" si="38">AJ45</f>
        <v>1125069.872575629</v>
      </c>
      <c r="AK60" s="13">
        <f t="shared" si="38"/>
        <v>291060.1879897</v>
      </c>
      <c r="AL60" s="13">
        <f t="shared" si="38"/>
        <v>0</v>
      </c>
      <c r="AM60" s="13">
        <f t="shared" si="38"/>
        <v>0</v>
      </c>
      <c r="AN60" s="13">
        <f t="shared" si="38"/>
        <v>0</v>
      </c>
      <c r="AO60" s="13">
        <f t="shared" si="38"/>
        <v>658269.63761161303</v>
      </c>
      <c r="AP60" s="13">
        <f t="shared" si="38"/>
        <v>452628.54829460365</v>
      </c>
      <c r="AQ60" s="13">
        <f t="shared" si="38"/>
        <v>242882.70516661627</v>
      </c>
      <c r="AR60" s="13">
        <f t="shared" si="38"/>
        <v>0</v>
      </c>
      <c r="AS60" s="13">
        <f t="shared" si="38"/>
        <v>0</v>
      </c>
      <c r="AT60" s="13">
        <f t="shared" si="38"/>
        <v>0</v>
      </c>
      <c r="AU60" s="13">
        <f t="shared" si="38"/>
        <v>1204808.5816506897</v>
      </c>
      <c r="AV60" s="13">
        <f t="shared" si="38"/>
        <v>736437.76944908604</v>
      </c>
      <c r="AW60" s="13">
        <f t="shared" si="38"/>
        <v>395463.70553227601</v>
      </c>
      <c r="AX60" s="13">
        <f t="shared" si="38"/>
        <v>0</v>
      </c>
      <c r="AY60" s="13">
        <f t="shared" si="38"/>
        <v>880303.59447173169</v>
      </c>
      <c r="AZ60" s="13">
        <f t="shared" si="38"/>
        <v>0</v>
      </c>
      <c r="BA60" s="13">
        <f t="shared" si="38"/>
        <v>0</v>
      </c>
      <c r="BB60" s="13">
        <f t="shared" si="38"/>
        <v>810759.11407027091</v>
      </c>
      <c r="BC60" s="13">
        <f t="shared" si="38"/>
        <v>201253.3820004882</v>
      </c>
      <c r="BD60" s="13">
        <f t="shared" si="38"/>
        <v>0</v>
      </c>
      <c r="BE60" s="13">
        <f t="shared" si="38"/>
        <v>102298.37794718132</v>
      </c>
      <c r="BF60" s="13">
        <f t="shared" si="38"/>
        <v>28362.447472178304</v>
      </c>
      <c r="BG60" s="13">
        <f t="shared" si="38"/>
        <v>0</v>
      </c>
      <c r="BH60" s="13">
        <f t="shared" ref="BH60" si="39">BH45</f>
        <v>1429188.5137335511</v>
      </c>
      <c r="BI60" s="13">
        <f t="shared" si="38"/>
        <v>623081.7632798088</v>
      </c>
      <c r="BJ60" s="13">
        <f t="shared" si="38"/>
        <v>550310.10595805512</v>
      </c>
      <c r="BK60" s="13">
        <f t="shared" si="38"/>
        <v>1288717.9054728842</v>
      </c>
      <c r="BL60" s="13">
        <f t="shared" si="38"/>
        <v>2627953.8491171193</v>
      </c>
      <c r="BM60" s="13">
        <f t="shared" si="38"/>
        <v>887788.12271615525</v>
      </c>
      <c r="BN60" s="13">
        <f t="shared" ref="BN60:BZ60" si="40">BN45</f>
        <v>984107.65283339308</v>
      </c>
      <c r="BO60" s="13">
        <f t="shared" si="40"/>
        <v>1671291.2332767027</v>
      </c>
      <c r="BP60" s="13">
        <f t="shared" si="40"/>
        <v>1047495.9628975065</v>
      </c>
      <c r="BQ60" s="13">
        <f t="shared" si="40"/>
        <v>1242703.6101849284</v>
      </c>
      <c r="BR60" s="13">
        <f t="shared" si="40"/>
        <v>0</v>
      </c>
      <c r="BS60" s="13">
        <f t="shared" si="40"/>
        <v>0</v>
      </c>
      <c r="BT60" s="13">
        <f t="shared" si="40"/>
        <v>241998.27923226316</v>
      </c>
      <c r="BU60" s="13">
        <f t="shared" si="40"/>
        <v>708016.70542857784</v>
      </c>
      <c r="BV60" s="13">
        <f t="shared" si="40"/>
        <v>1232553.8131574299</v>
      </c>
      <c r="BW60" s="13">
        <f t="shared" si="40"/>
        <v>0</v>
      </c>
      <c r="BX60" s="13">
        <f t="shared" si="40"/>
        <v>546560.18588417233</v>
      </c>
      <c r="BY60" s="13">
        <f t="shared" si="40"/>
        <v>1750169.2382262612</v>
      </c>
      <c r="BZ60" s="13">
        <f t="shared" si="40"/>
        <v>419974.30066415871</v>
      </c>
    </row>
    <row r="61" spans="1:80" s="19" customFormat="1" x14ac:dyDescent="0.2">
      <c r="C61" s="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</row>
    <row r="62" spans="1:80" x14ac:dyDescent="0.2">
      <c r="B62" t="s">
        <v>139</v>
      </c>
      <c r="C62" s="3">
        <f>SUM(D62:BZ62)</f>
        <v>-1243436.9807934316</v>
      </c>
      <c r="D62" s="3">
        <f>D52</f>
        <v>0</v>
      </c>
      <c r="E62" s="3">
        <f t="shared" ref="E62:BN62" si="41">E52</f>
        <v>0</v>
      </c>
      <c r="F62" s="3">
        <f t="shared" si="41"/>
        <v>0</v>
      </c>
      <c r="G62" s="3">
        <f t="shared" si="41"/>
        <v>0</v>
      </c>
      <c r="H62" s="3">
        <f t="shared" si="41"/>
        <v>-123461.32935735659</v>
      </c>
      <c r="I62" s="3">
        <f t="shared" si="41"/>
        <v>0</v>
      </c>
      <c r="J62" s="3">
        <f t="shared" si="41"/>
        <v>0</v>
      </c>
      <c r="K62" s="3">
        <f t="shared" si="41"/>
        <v>0</v>
      </c>
      <c r="L62" s="3">
        <f t="shared" si="41"/>
        <v>-524291.23054176255</v>
      </c>
      <c r="M62" s="3">
        <f t="shared" si="41"/>
        <v>0</v>
      </c>
      <c r="N62" s="3">
        <f t="shared" si="41"/>
        <v>0</v>
      </c>
      <c r="O62" s="3">
        <f t="shared" si="41"/>
        <v>0</v>
      </c>
      <c r="P62" s="3">
        <f t="shared" si="41"/>
        <v>0</v>
      </c>
      <c r="Q62" s="3">
        <f t="shared" si="41"/>
        <v>0</v>
      </c>
      <c r="R62" s="3">
        <f t="shared" si="41"/>
        <v>0</v>
      </c>
      <c r="S62" s="3">
        <f t="shared" si="41"/>
        <v>0</v>
      </c>
      <c r="T62" s="3">
        <f t="shared" si="41"/>
        <v>0</v>
      </c>
      <c r="U62" s="3">
        <f t="shared" si="41"/>
        <v>-71772.627309605989</v>
      </c>
      <c r="V62" s="3">
        <f t="shared" si="41"/>
        <v>0</v>
      </c>
      <c r="W62" s="3">
        <f t="shared" si="41"/>
        <v>-59552.690678298495</v>
      </c>
      <c r="X62" s="3">
        <f t="shared" si="41"/>
        <v>-225095.07120096392</v>
      </c>
      <c r="Y62" s="3">
        <f t="shared" si="41"/>
        <v>0</v>
      </c>
      <c r="Z62" s="3">
        <f t="shared" si="41"/>
        <v>0</v>
      </c>
      <c r="AA62" s="3">
        <f t="shared" si="41"/>
        <v>0</v>
      </c>
      <c r="AB62" s="3">
        <f t="shared" si="41"/>
        <v>0</v>
      </c>
      <c r="AC62" s="3">
        <f t="shared" si="41"/>
        <v>0</v>
      </c>
      <c r="AD62" s="3">
        <f t="shared" si="41"/>
        <v>0</v>
      </c>
      <c r="AE62" s="3">
        <f t="shared" si="41"/>
        <v>0</v>
      </c>
      <c r="AF62" s="3">
        <f t="shared" si="41"/>
        <v>0</v>
      </c>
      <c r="AG62" s="3">
        <f t="shared" si="41"/>
        <v>0</v>
      </c>
      <c r="AH62" s="3">
        <f t="shared" si="41"/>
        <v>0</v>
      </c>
      <c r="AI62" s="3">
        <f t="shared" si="41"/>
        <v>0</v>
      </c>
      <c r="AJ62" s="3">
        <f t="shared" si="41"/>
        <v>0</v>
      </c>
      <c r="AK62" s="3">
        <f t="shared" si="41"/>
        <v>0</v>
      </c>
      <c r="AL62" s="3">
        <f t="shared" si="41"/>
        <v>0</v>
      </c>
      <c r="AM62" s="3">
        <f t="shared" si="41"/>
        <v>0</v>
      </c>
      <c r="AN62" s="3">
        <f t="shared" si="41"/>
        <v>0</v>
      </c>
      <c r="AO62" s="3">
        <f t="shared" si="41"/>
        <v>0</v>
      </c>
      <c r="AP62" s="3">
        <f t="shared" si="41"/>
        <v>0</v>
      </c>
      <c r="AQ62" s="3">
        <f t="shared" si="41"/>
        <v>0</v>
      </c>
      <c r="AR62" s="3">
        <f t="shared" si="41"/>
        <v>0</v>
      </c>
      <c r="AS62" s="3">
        <f t="shared" si="41"/>
        <v>0</v>
      </c>
      <c r="AT62" s="3">
        <f t="shared" si="41"/>
        <v>0</v>
      </c>
      <c r="AU62" s="3">
        <f t="shared" si="41"/>
        <v>0</v>
      </c>
      <c r="AV62" s="3">
        <f t="shared" si="41"/>
        <v>0</v>
      </c>
      <c r="AW62" s="3">
        <f t="shared" si="41"/>
        <v>0</v>
      </c>
      <c r="AX62" s="3">
        <f t="shared" si="41"/>
        <v>0</v>
      </c>
      <c r="AY62" s="3">
        <f t="shared" si="41"/>
        <v>0</v>
      </c>
      <c r="AZ62" s="3">
        <f t="shared" si="41"/>
        <v>0</v>
      </c>
      <c r="BA62" s="3">
        <f t="shared" si="41"/>
        <v>0</v>
      </c>
      <c r="BB62" s="3">
        <f t="shared" si="41"/>
        <v>0</v>
      </c>
      <c r="BC62" s="3">
        <f t="shared" si="41"/>
        <v>0</v>
      </c>
      <c r="BD62" s="3">
        <f t="shared" si="41"/>
        <v>0</v>
      </c>
      <c r="BE62" s="3">
        <f t="shared" si="41"/>
        <v>0</v>
      </c>
      <c r="BF62" s="3">
        <f t="shared" si="41"/>
        <v>0</v>
      </c>
      <c r="BG62" s="3">
        <f t="shared" si="41"/>
        <v>0</v>
      </c>
      <c r="BH62" s="3">
        <f t="shared" ref="BH62" si="42">BH52</f>
        <v>0</v>
      </c>
      <c r="BI62" s="3">
        <f t="shared" si="41"/>
        <v>0</v>
      </c>
      <c r="BJ62" s="3">
        <f t="shared" si="41"/>
        <v>0</v>
      </c>
      <c r="BK62" s="3">
        <f t="shared" si="41"/>
        <v>0</v>
      </c>
      <c r="BL62" s="3">
        <f t="shared" si="41"/>
        <v>0</v>
      </c>
      <c r="BM62" s="3">
        <f t="shared" si="41"/>
        <v>0</v>
      </c>
      <c r="BN62" s="3">
        <f t="shared" si="41"/>
        <v>0</v>
      </c>
      <c r="BO62" s="3">
        <f t="shared" ref="BO62:BZ62" si="43">BO52</f>
        <v>0</v>
      </c>
      <c r="BP62" s="3">
        <f t="shared" si="43"/>
        <v>0</v>
      </c>
      <c r="BQ62" s="3">
        <f t="shared" si="43"/>
        <v>0</v>
      </c>
      <c r="BR62" s="3">
        <f t="shared" si="43"/>
        <v>0</v>
      </c>
      <c r="BS62" s="3">
        <f t="shared" si="43"/>
        <v>0</v>
      </c>
      <c r="BT62" s="3">
        <f t="shared" si="43"/>
        <v>0</v>
      </c>
      <c r="BU62" s="3">
        <f t="shared" si="43"/>
        <v>0</v>
      </c>
      <c r="BV62" s="3">
        <f t="shared" si="43"/>
        <v>0</v>
      </c>
      <c r="BW62" s="3">
        <f t="shared" si="43"/>
        <v>0</v>
      </c>
      <c r="BX62" s="3">
        <f t="shared" si="43"/>
        <v>0</v>
      </c>
      <c r="BY62" s="3">
        <f t="shared" si="43"/>
        <v>0</v>
      </c>
      <c r="BZ62" s="3">
        <f t="shared" si="43"/>
        <v>-239264.03170544404</v>
      </c>
    </row>
    <row r="63" spans="1:80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80" s="19" customFormat="1" x14ac:dyDescent="0.2">
      <c r="B64" s="90" t="s">
        <v>145</v>
      </c>
      <c r="C64" s="91">
        <f>SUM(D64:BZ64)</f>
        <v>31219100</v>
      </c>
      <c r="D64" s="91">
        <f>ROUND(D60+D62,-2)</f>
        <v>0</v>
      </c>
      <c r="E64" s="91">
        <f t="shared" ref="E64:BN64" si="44">ROUND(E60+E62,-2)</f>
        <v>360400</v>
      </c>
      <c r="F64" s="91">
        <f t="shared" si="44"/>
        <v>517400</v>
      </c>
      <c r="G64" s="91">
        <f t="shared" si="44"/>
        <v>253100</v>
      </c>
      <c r="H64" s="91">
        <f t="shared" si="44"/>
        <v>0</v>
      </c>
      <c r="I64" s="91">
        <f t="shared" si="44"/>
        <v>0</v>
      </c>
      <c r="J64" s="91">
        <f t="shared" si="44"/>
        <v>0</v>
      </c>
      <c r="K64" s="91">
        <f t="shared" si="44"/>
        <v>0</v>
      </c>
      <c r="L64" s="91">
        <f t="shared" si="44"/>
        <v>0</v>
      </c>
      <c r="M64" s="91">
        <f t="shared" si="44"/>
        <v>237800</v>
      </c>
      <c r="N64" s="91">
        <f t="shared" si="44"/>
        <v>605600</v>
      </c>
      <c r="O64" s="91">
        <f t="shared" si="44"/>
        <v>0</v>
      </c>
      <c r="P64" s="91">
        <f t="shared" si="44"/>
        <v>0</v>
      </c>
      <c r="Q64" s="91">
        <f t="shared" si="44"/>
        <v>0</v>
      </c>
      <c r="R64" s="91">
        <f t="shared" si="44"/>
        <v>0</v>
      </c>
      <c r="S64" s="91">
        <f t="shared" si="44"/>
        <v>450300</v>
      </c>
      <c r="T64" s="91">
        <f t="shared" si="44"/>
        <v>0</v>
      </c>
      <c r="U64" s="91">
        <f t="shared" si="44"/>
        <v>15600</v>
      </c>
      <c r="V64" s="91">
        <f t="shared" si="44"/>
        <v>0</v>
      </c>
      <c r="W64" s="91">
        <f t="shared" si="44"/>
        <v>161900</v>
      </c>
      <c r="X64" s="91">
        <f t="shared" si="44"/>
        <v>153000</v>
      </c>
      <c r="Y64" s="91">
        <f t="shared" si="44"/>
        <v>0</v>
      </c>
      <c r="Z64" s="91">
        <f t="shared" si="44"/>
        <v>0</v>
      </c>
      <c r="AA64" s="91">
        <f t="shared" si="44"/>
        <v>0</v>
      </c>
      <c r="AB64" s="91">
        <f t="shared" si="44"/>
        <v>125500</v>
      </c>
      <c r="AC64" s="91">
        <f t="shared" si="44"/>
        <v>949700</v>
      </c>
      <c r="AD64" s="91">
        <f t="shared" si="44"/>
        <v>563100</v>
      </c>
      <c r="AE64" s="91">
        <f t="shared" si="44"/>
        <v>0</v>
      </c>
      <c r="AF64" s="91">
        <f t="shared" si="44"/>
        <v>803200</v>
      </c>
      <c r="AG64" s="91">
        <f t="shared" si="44"/>
        <v>598700</v>
      </c>
      <c r="AH64" s="91">
        <f t="shared" si="44"/>
        <v>267800</v>
      </c>
      <c r="AI64" s="91">
        <f t="shared" si="44"/>
        <v>1013400</v>
      </c>
      <c r="AJ64" s="91">
        <f t="shared" si="44"/>
        <v>1125100</v>
      </c>
      <c r="AK64" s="91">
        <f t="shared" si="44"/>
        <v>291100</v>
      </c>
      <c r="AL64" s="91">
        <f t="shared" si="44"/>
        <v>0</v>
      </c>
      <c r="AM64" s="91">
        <f t="shared" si="44"/>
        <v>0</v>
      </c>
      <c r="AN64" s="91">
        <f t="shared" si="44"/>
        <v>0</v>
      </c>
      <c r="AO64" s="91">
        <f t="shared" si="44"/>
        <v>658300</v>
      </c>
      <c r="AP64" s="91">
        <f t="shared" si="44"/>
        <v>452600</v>
      </c>
      <c r="AQ64" s="91">
        <f t="shared" si="44"/>
        <v>242900</v>
      </c>
      <c r="AR64" s="91">
        <f t="shared" si="44"/>
        <v>0</v>
      </c>
      <c r="AS64" s="91">
        <f t="shared" si="44"/>
        <v>0</v>
      </c>
      <c r="AT64" s="91">
        <f t="shared" si="44"/>
        <v>0</v>
      </c>
      <c r="AU64" s="91">
        <f t="shared" si="44"/>
        <v>1204800</v>
      </c>
      <c r="AV64" s="91">
        <f t="shared" si="44"/>
        <v>736400</v>
      </c>
      <c r="AW64" s="91">
        <f t="shared" si="44"/>
        <v>395500</v>
      </c>
      <c r="AX64" s="91">
        <f t="shared" si="44"/>
        <v>0</v>
      </c>
      <c r="AY64" s="91">
        <f t="shared" si="44"/>
        <v>880300</v>
      </c>
      <c r="AZ64" s="91">
        <f t="shared" si="44"/>
        <v>0</v>
      </c>
      <c r="BA64" s="91">
        <f t="shared" si="44"/>
        <v>0</v>
      </c>
      <c r="BB64" s="91">
        <f t="shared" si="44"/>
        <v>810800</v>
      </c>
      <c r="BC64" s="91">
        <f t="shared" si="44"/>
        <v>201300</v>
      </c>
      <c r="BD64" s="91">
        <f t="shared" si="44"/>
        <v>0</v>
      </c>
      <c r="BE64" s="91">
        <f t="shared" si="44"/>
        <v>102300</v>
      </c>
      <c r="BF64" s="91">
        <f t="shared" si="44"/>
        <v>28400</v>
      </c>
      <c r="BG64" s="91">
        <f t="shared" si="44"/>
        <v>0</v>
      </c>
      <c r="BH64" s="91">
        <f t="shared" ref="BH64" si="45">ROUND(BH60+BH62,-2)</f>
        <v>1429200</v>
      </c>
      <c r="BI64" s="91">
        <f t="shared" si="44"/>
        <v>623100</v>
      </c>
      <c r="BJ64" s="91">
        <f t="shared" si="44"/>
        <v>550300</v>
      </c>
      <c r="BK64" s="91">
        <f t="shared" si="44"/>
        <v>1288700</v>
      </c>
      <c r="BL64" s="91">
        <f t="shared" si="44"/>
        <v>2628000</v>
      </c>
      <c r="BM64" s="91">
        <f t="shared" si="44"/>
        <v>887800</v>
      </c>
      <c r="BN64" s="91">
        <f t="shared" si="44"/>
        <v>984100</v>
      </c>
      <c r="BO64" s="91">
        <f t="shared" ref="BO64:BZ64" si="46">ROUND(BO60+BO62,-2)</f>
        <v>1671300</v>
      </c>
      <c r="BP64" s="91">
        <f t="shared" si="46"/>
        <v>1047500</v>
      </c>
      <c r="BQ64" s="91">
        <f t="shared" si="46"/>
        <v>1242700</v>
      </c>
      <c r="BR64" s="91">
        <f t="shared" si="46"/>
        <v>0</v>
      </c>
      <c r="BS64" s="91">
        <f t="shared" si="46"/>
        <v>0</v>
      </c>
      <c r="BT64" s="91">
        <f t="shared" si="46"/>
        <v>242000</v>
      </c>
      <c r="BU64" s="91">
        <f t="shared" si="46"/>
        <v>708000</v>
      </c>
      <c r="BV64" s="91">
        <f t="shared" si="46"/>
        <v>1232600</v>
      </c>
      <c r="BW64" s="91">
        <f t="shared" si="46"/>
        <v>0</v>
      </c>
      <c r="BX64" s="91">
        <f t="shared" si="46"/>
        <v>546600</v>
      </c>
      <c r="BY64" s="91">
        <f t="shared" si="46"/>
        <v>1750200</v>
      </c>
      <c r="BZ64" s="91">
        <f t="shared" si="46"/>
        <v>180700</v>
      </c>
    </row>
    <row r="65" spans="3:78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3:78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3:78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3:78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3:78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3:78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3:78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3:78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3:78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3:78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3:78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3:78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3:78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3:78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3:78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3:78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CB83"/>
  <sheetViews>
    <sheetView zoomScale="90" zoomScaleNormal="90" workbookViewId="0">
      <pane xSplit="3" ySplit="9" topLeftCell="D10" activePane="bottomRight" state="frozen"/>
      <selection activeCell="B7" sqref="B7:E7"/>
      <selection pane="topRight" activeCell="B7" sqref="B7:E7"/>
      <selection pane="bottomLeft" activeCell="B7" sqref="B7:E7"/>
      <selection pane="bottomRight" activeCell="B7" sqref="B7:E7"/>
    </sheetView>
  </sheetViews>
  <sheetFormatPr baseColWidth="10" defaultRowHeight="12.75" x14ac:dyDescent="0.2"/>
  <cols>
    <col min="1" max="1" width="4" customWidth="1"/>
    <col min="2" max="2" width="52.425781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194</v>
      </c>
    </row>
    <row r="2" spans="1:80" x14ac:dyDescent="0.2">
      <c r="A2" t="s">
        <v>195</v>
      </c>
    </row>
    <row r="5" spans="1:80" ht="26.25" x14ac:dyDescent="0.4">
      <c r="A5" s="16" t="s">
        <v>238</v>
      </c>
      <c r="E5" s="93"/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233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3">
        <f>'Ressourcenausgleich Basis'!C124</f>
        <v>525967</v>
      </c>
      <c r="D12" s="43">
        <f>'Ressourcenausgleich Basis'!D124</f>
        <v>76931</v>
      </c>
      <c r="E12" s="43">
        <f>'Ressourcenausgleich Basis'!E124</f>
        <v>9914</v>
      </c>
      <c r="F12" s="43">
        <f>'Ressourcenausgleich Basis'!F124</f>
        <v>1393</v>
      </c>
      <c r="G12" s="43">
        <f>'Ressourcenausgleich Basis'!G124</f>
        <v>1253</v>
      </c>
      <c r="H12" s="43">
        <f>'Ressourcenausgleich Basis'!H124</f>
        <v>3619</v>
      </c>
      <c r="I12" s="43">
        <f>'Ressourcenausgleich Basis'!I124</f>
        <v>9562</v>
      </c>
      <c r="J12" s="43">
        <f>'Ressourcenausgleich Basis'!J124</f>
        <v>3583</v>
      </c>
      <c r="K12" s="43">
        <f>'Ressourcenausgleich Basis'!K124</f>
        <v>988</v>
      </c>
      <c r="L12" s="43">
        <f>'Ressourcenausgleich Basis'!L124</f>
        <v>1587</v>
      </c>
      <c r="M12" s="43">
        <f>'Ressourcenausgleich Basis'!M124</f>
        <v>1026</v>
      </c>
      <c r="N12" s="43">
        <f>'Ressourcenausgleich Basis'!N124</f>
        <v>2364</v>
      </c>
      <c r="O12" s="43">
        <f>'Ressourcenausgleich Basis'!O124</f>
        <v>7620</v>
      </c>
      <c r="P12" s="43">
        <f>'Ressourcenausgleich Basis'!P124</f>
        <v>9777</v>
      </c>
      <c r="Q12" s="43">
        <f>'Ressourcenausgleich Basis'!Q124</f>
        <v>6914</v>
      </c>
      <c r="R12" s="43">
        <f>'Ressourcenausgleich Basis'!R124</f>
        <v>3481</v>
      </c>
      <c r="S12" s="43">
        <f>'Ressourcenausgleich Basis'!S124</f>
        <v>6249</v>
      </c>
      <c r="T12" s="43">
        <f>'Ressourcenausgleich Basis'!T124</f>
        <v>8252</v>
      </c>
      <c r="U12" s="43">
        <f>'Ressourcenausgleich Basis'!U124</f>
        <v>3963</v>
      </c>
      <c r="V12" s="43">
        <f>'Ressourcenausgleich Basis'!V124</f>
        <v>5067</v>
      </c>
      <c r="W12" s="43">
        <f>'Ressourcenausgleich Basis'!W124</f>
        <v>6889</v>
      </c>
      <c r="X12" s="43">
        <f>'Ressourcenausgleich Basis'!X124</f>
        <v>10178</v>
      </c>
      <c r="Y12" s="43">
        <f>'Ressourcenausgleich Basis'!Y124</f>
        <v>4906</v>
      </c>
      <c r="Z12" s="43">
        <f>'Ressourcenausgleich Basis'!Z124</f>
        <v>2137</v>
      </c>
      <c r="AA12" s="43">
        <f>'Ressourcenausgleich Basis'!AA124</f>
        <v>12278</v>
      </c>
      <c r="AB12" s="43">
        <f>'Ressourcenausgleich Basis'!AB124</f>
        <v>1556</v>
      </c>
      <c r="AC12" s="43">
        <f>'Ressourcenausgleich Basis'!AC124</f>
        <v>9180</v>
      </c>
      <c r="AD12" s="43">
        <f>'Ressourcenausgleich Basis'!AD124</f>
        <v>2472</v>
      </c>
      <c r="AE12" s="43">
        <f>'Ressourcenausgleich Basis'!AE124</f>
        <v>6101</v>
      </c>
      <c r="AF12" s="43">
        <f>'Ressourcenausgleich Basis'!AF124</f>
        <v>3606</v>
      </c>
      <c r="AG12" s="43">
        <f>'Ressourcenausgleich Basis'!AG124</f>
        <v>7302</v>
      </c>
      <c r="AH12" s="43">
        <f>'Ressourcenausgleich Basis'!AH124</f>
        <v>13605</v>
      </c>
      <c r="AI12" s="43">
        <f>'Ressourcenausgleich Basis'!AI124</f>
        <v>5279</v>
      </c>
      <c r="AJ12" s="43">
        <f>'Ressourcenausgleich Basis'!AJ124</f>
        <v>5395</v>
      </c>
      <c r="AK12" s="43">
        <f>'Ressourcenausgleich Basis'!AK124</f>
        <v>6443</v>
      </c>
      <c r="AL12" s="43">
        <f>'Ressourcenausgleich Basis'!AL124</f>
        <v>5015</v>
      </c>
      <c r="AM12" s="43">
        <f>'Ressourcenausgleich Basis'!AM124</f>
        <v>6663</v>
      </c>
      <c r="AN12" s="43">
        <f>'Ressourcenausgleich Basis'!AN124</f>
        <v>1563</v>
      </c>
      <c r="AO12" s="43">
        <f>'Ressourcenausgleich Basis'!AO124</f>
        <v>9311</v>
      </c>
      <c r="AP12" s="43">
        <f>'Ressourcenausgleich Basis'!AP124</f>
        <v>5211</v>
      </c>
      <c r="AQ12" s="43">
        <f>'Ressourcenausgleich Basis'!AQ124</f>
        <v>5763</v>
      </c>
      <c r="AR12" s="43">
        <f>'Ressourcenausgleich Basis'!AR124</f>
        <v>3000</v>
      </c>
      <c r="AS12" s="43">
        <f>'Ressourcenausgleich Basis'!AS124</f>
        <v>1847</v>
      </c>
      <c r="AT12" s="43">
        <f>'Ressourcenausgleich Basis'!AT124</f>
        <v>1845</v>
      </c>
      <c r="AU12" s="43">
        <f>'Ressourcenausgleich Basis'!AU124</f>
        <v>4021</v>
      </c>
      <c r="AV12" s="43">
        <f>'Ressourcenausgleich Basis'!AV124</f>
        <v>3018</v>
      </c>
      <c r="AW12" s="43">
        <f>'Ressourcenausgleich Basis'!AW124</f>
        <v>5051</v>
      </c>
      <c r="AX12" s="43">
        <f>'Ressourcenausgleich Basis'!AX124</f>
        <v>5564</v>
      </c>
      <c r="AY12" s="43">
        <f>'Ressourcenausgleich Basis'!AY124</f>
        <v>6850</v>
      </c>
      <c r="AZ12" s="43">
        <f>'Ressourcenausgleich Basis'!AZ124</f>
        <v>4110</v>
      </c>
      <c r="BA12" s="43">
        <f>'Ressourcenausgleich Basis'!BA124</f>
        <v>28252</v>
      </c>
      <c r="BB12" s="43">
        <f>'Ressourcenausgleich Basis'!BB124</f>
        <v>9996</v>
      </c>
      <c r="BC12" s="43">
        <f>'Ressourcenausgleich Basis'!BC124</f>
        <v>2612</v>
      </c>
      <c r="BD12" s="43">
        <f>'Ressourcenausgleich Basis'!BD124</f>
        <v>3733</v>
      </c>
      <c r="BE12" s="43">
        <f>'Ressourcenausgleich Basis'!BE124</f>
        <v>4979</v>
      </c>
      <c r="BF12" s="43">
        <f>'Ressourcenausgleich Basis'!BF124</f>
        <v>8954</v>
      </c>
      <c r="BG12" s="43">
        <f>'Ressourcenausgleich Basis'!BG124</f>
        <v>1980</v>
      </c>
      <c r="BH12" s="43">
        <f>'Ressourcenausgleich Basis'!BH124</f>
        <v>6324</v>
      </c>
      <c r="BI12" s="43">
        <f>'Ressourcenausgleich Basis'!BI124</f>
        <v>5163</v>
      </c>
      <c r="BJ12" s="43">
        <f>'Ressourcenausgleich Basis'!BJ124</f>
        <v>1619</v>
      </c>
      <c r="BK12" s="43">
        <f>'Ressourcenausgleich Basis'!BK124</f>
        <v>2920</v>
      </c>
      <c r="BL12" s="43">
        <f>'Ressourcenausgleich Basis'!BL124</f>
        <v>9632</v>
      </c>
      <c r="BM12" s="43">
        <f>'Ressourcenausgleich Basis'!BM124</f>
        <v>3961</v>
      </c>
      <c r="BN12" s="43">
        <f>'Ressourcenausgleich Basis'!BN124</f>
        <v>6536</v>
      </c>
      <c r="BO12" s="43">
        <f>'Ressourcenausgleich Basis'!BO124</f>
        <v>13831</v>
      </c>
      <c r="BP12" s="43">
        <f>'Ressourcenausgleich Basis'!BP124</f>
        <v>10446</v>
      </c>
      <c r="BQ12" s="43">
        <f>'Ressourcenausgleich Basis'!BQ124</f>
        <v>4081</v>
      </c>
      <c r="BR12" s="43">
        <f>'Ressourcenausgleich Basis'!BR124</f>
        <v>24541</v>
      </c>
      <c r="BS12" s="43">
        <f>'Ressourcenausgleich Basis'!BS124</f>
        <v>4997</v>
      </c>
      <c r="BT12" s="43">
        <f>'Ressourcenausgleich Basis'!BT124</f>
        <v>4588</v>
      </c>
      <c r="BU12" s="43">
        <f>'Ressourcenausgleich Basis'!BU124</f>
        <v>1527</v>
      </c>
      <c r="BV12" s="43">
        <f>'Ressourcenausgleich Basis'!BV124</f>
        <v>3201</v>
      </c>
      <c r="BW12" s="43">
        <f>'Ressourcenausgleich Basis'!BW124</f>
        <v>18226</v>
      </c>
      <c r="BX12" s="43">
        <f>'Ressourcenausgleich Basis'!BX124</f>
        <v>2115</v>
      </c>
      <c r="BY12" s="43">
        <f>'Ressourcenausgleich Basis'!BY124</f>
        <v>3528</v>
      </c>
      <c r="BZ12" s="43">
        <f>'Ressourcenausgleich Basis'!BZ124</f>
        <v>8523</v>
      </c>
    </row>
    <row r="13" spans="1:80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80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0" s="41" customFormat="1" ht="15.75" x14ac:dyDescent="0.25">
      <c r="A15" s="20" t="s">
        <v>98</v>
      </c>
      <c r="B15" s="20" t="s">
        <v>181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20"/>
      <c r="CB15" s="20"/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s="19" customFormat="1" x14ac:dyDescent="0.2">
      <c r="A17" s="46" t="s">
        <v>128</v>
      </c>
      <c r="B17" s="44" t="s">
        <v>182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4"/>
      <c r="CB17" s="44"/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x14ac:dyDescent="0.2">
      <c r="B19" t="s">
        <v>185</v>
      </c>
      <c r="C19" s="8">
        <v>0.6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</row>
    <row r="20" spans="1:80" x14ac:dyDescent="0.2"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</row>
    <row r="21" spans="1:80" x14ac:dyDescent="0.2">
      <c r="B21" t="s">
        <v>204</v>
      </c>
      <c r="C21" s="3">
        <f>SUM(D21:BZ21)</f>
        <v>68075435.319999978</v>
      </c>
      <c r="D21" s="10">
        <v>21428690</v>
      </c>
      <c r="E21" s="10">
        <v>1250168.6599999999</v>
      </c>
      <c r="F21" s="10">
        <v>75002.75</v>
      </c>
      <c r="G21" s="10">
        <v>-30909.72</v>
      </c>
      <c r="H21" s="10">
        <v>168564.85</v>
      </c>
      <c r="I21" s="10">
        <v>1156680</v>
      </c>
      <c r="J21" s="10">
        <v>561360.93000000005</v>
      </c>
      <c r="K21" s="121">
        <v>3604</v>
      </c>
      <c r="L21" s="10">
        <v>147789.96</v>
      </c>
      <c r="M21" s="10">
        <v>47042.3</v>
      </c>
      <c r="N21" s="10">
        <v>155051.95000000001</v>
      </c>
      <c r="O21" s="10">
        <v>1140560.1499999999</v>
      </c>
      <c r="P21" s="10">
        <v>1990720.44</v>
      </c>
      <c r="Q21" s="10">
        <v>356338.88</v>
      </c>
      <c r="R21" s="10">
        <v>206916.39</v>
      </c>
      <c r="S21" s="10">
        <v>1423793.72</v>
      </c>
      <c r="T21" s="10">
        <v>896025.4</v>
      </c>
      <c r="U21" s="10">
        <v>302022</v>
      </c>
      <c r="V21" s="10">
        <v>449254.85</v>
      </c>
      <c r="W21" s="10">
        <v>607195.56000000006</v>
      </c>
      <c r="X21" s="10">
        <v>1603298.61</v>
      </c>
      <c r="Y21" s="10">
        <v>332330</v>
      </c>
      <c r="Z21" s="10">
        <v>15346.82</v>
      </c>
      <c r="AA21" s="10">
        <v>1442627.57</v>
      </c>
      <c r="AB21" s="10">
        <v>64058.16</v>
      </c>
      <c r="AC21" s="10">
        <v>294298.58</v>
      </c>
      <c r="AD21" s="10">
        <v>277215.61</v>
      </c>
      <c r="AE21" s="10">
        <v>258184.6</v>
      </c>
      <c r="AF21" s="10">
        <v>336463.4</v>
      </c>
      <c r="AG21" s="10">
        <v>497635.12</v>
      </c>
      <c r="AH21" s="10">
        <v>1263045.19</v>
      </c>
      <c r="AI21" s="10">
        <v>825976.99</v>
      </c>
      <c r="AJ21" s="10">
        <v>481939.64</v>
      </c>
      <c r="AK21" s="10">
        <v>366979.22</v>
      </c>
      <c r="AL21" s="10">
        <v>177446</v>
      </c>
      <c r="AM21" s="10">
        <v>638496</v>
      </c>
      <c r="AN21" s="10">
        <v>71710.55</v>
      </c>
      <c r="AO21" s="10">
        <v>1006789.48</v>
      </c>
      <c r="AP21" s="10">
        <v>565065</v>
      </c>
      <c r="AQ21" s="10">
        <v>257919.13</v>
      </c>
      <c r="AR21" s="10">
        <v>88436.1</v>
      </c>
      <c r="AS21" s="10">
        <v>41587.35</v>
      </c>
      <c r="AT21" s="10">
        <v>-27627.200000000001</v>
      </c>
      <c r="AU21" s="121">
        <v>391626.51</v>
      </c>
      <c r="AV21" s="10">
        <v>235136.4</v>
      </c>
      <c r="AW21" s="10">
        <v>500491.62</v>
      </c>
      <c r="AX21" s="10">
        <v>152981.65</v>
      </c>
      <c r="AY21" s="10">
        <v>989759.05</v>
      </c>
      <c r="AZ21" s="10">
        <v>501393.73</v>
      </c>
      <c r="BA21" s="10">
        <v>4247034.75</v>
      </c>
      <c r="BB21" s="10">
        <v>1025842.1</v>
      </c>
      <c r="BC21" s="10">
        <v>33071</v>
      </c>
      <c r="BD21" s="10">
        <v>390255.05</v>
      </c>
      <c r="BE21" s="10">
        <v>695980</v>
      </c>
      <c r="BF21" s="10">
        <v>1089274.19</v>
      </c>
      <c r="BG21" s="10">
        <v>254386.35</v>
      </c>
      <c r="BH21" s="10">
        <v>610143.78</v>
      </c>
      <c r="BI21" s="10">
        <v>357946.87</v>
      </c>
      <c r="BJ21" s="10">
        <v>156037</v>
      </c>
      <c r="BK21" s="10">
        <v>67106.28</v>
      </c>
      <c r="BL21" s="121">
        <v>817076.75</v>
      </c>
      <c r="BM21" s="10">
        <v>261529.1</v>
      </c>
      <c r="BN21" s="10">
        <v>591840.14</v>
      </c>
      <c r="BO21" s="10">
        <v>1191446.8500000001</v>
      </c>
      <c r="BP21" s="10">
        <v>1574420.66</v>
      </c>
      <c r="BQ21" s="10">
        <v>516414.92</v>
      </c>
      <c r="BR21" s="10">
        <v>4307631.49</v>
      </c>
      <c r="BS21" s="10">
        <v>117182.59</v>
      </c>
      <c r="BT21" s="10">
        <v>234976.96</v>
      </c>
      <c r="BU21" s="10">
        <v>5980.05</v>
      </c>
      <c r="BV21" s="10">
        <v>35747.5</v>
      </c>
      <c r="BW21" s="10">
        <v>1902921.54</v>
      </c>
      <c r="BX21" s="10">
        <v>50647.1</v>
      </c>
      <c r="BY21" s="10">
        <v>625112.35</v>
      </c>
      <c r="BZ21" s="10">
        <v>928946</v>
      </c>
      <c r="CB21" t="s">
        <v>119</v>
      </c>
    </row>
    <row r="22" spans="1:80" x14ac:dyDescent="0.2">
      <c r="B22" t="s">
        <v>187</v>
      </c>
      <c r="C22" s="3">
        <f t="shared" ref="C22:AH22" si="0">C21/C12</f>
        <v>129.42909977241914</v>
      </c>
      <c r="D22" s="3">
        <f t="shared" si="0"/>
        <v>278.54427993916624</v>
      </c>
      <c r="E22" s="3">
        <f t="shared" si="0"/>
        <v>126.10133750252167</v>
      </c>
      <c r="F22" s="3">
        <f t="shared" si="0"/>
        <v>53.842605886575733</v>
      </c>
      <c r="G22" s="3">
        <f t="shared" si="0"/>
        <v>-24.668571428571429</v>
      </c>
      <c r="H22" s="3">
        <f t="shared" si="0"/>
        <v>46.577742470295661</v>
      </c>
      <c r="I22" s="3">
        <f t="shared" si="0"/>
        <v>120.96632503660322</v>
      </c>
      <c r="J22" s="3">
        <f t="shared" si="0"/>
        <v>156.67343845939158</v>
      </c>
      <c r="K22" s="3">
        <f t="shared" si="0"/>
        <v>3.6477732793522266</v>
      </c>
      <c r="L22" s="3">
        <f t="shared" si="0"/>
        <v>93.125368620037804</v>
      </c>
      <c r="M22" s="3">
        <f t="shared" si="0"/>
        <v>45.850194931773885</v>
      </c>
      <c r="N22" s="3">
        <f t="shared" si="0"/>
        <v>65.588811336717427</v>
      </c>
      <c r="O22" s="3">
        <f t="shared" si="0"/>
        <v>149.67980971128608</v>
      </c>
      <c r="P22" s="3">
        <f t="shared" si="0"/>
        <v>203.61260509358698</v>
      </c>
      <c r="Q22" s="3">
        <f t="shared" si="0"/>
        <v>51.538744576222157</v>
      </c>
      <c r="R22" s="3">
        <f t="shared" si="0"/>
        <v>59.441651824188455</v>
      </c>
      <c r="S22" s="3">
        <f t="shared" si="0"/>
        <v>227.84345015202433</v>
      </c>
      <c r="T22" s="3">
        <f t="shared" si="0"/>
        <v>108.58281628696074</v>
      </c>
      <c r="U22" s="3">
        <f t="shared" si="0"/>
        <v>76.210446631339892</v>
      </c>
      <c r="V22" s="3">
        <f t="shared" si="0"/>
        <v>88.662887310045392</v>
      </c>
      <c r="W22" s="3">
        <f t="shared" si="0"/>
        <v>88.139869356945866</v>
      </c>
      <c r="X22" s="3">
        <f t="shared" si="0"/>
        <v>157.52589998034978</v>
      </c>
      <c r="Y22" s="3">
        <f t="shared" si="0"/>
        <v>67.739502649816558</v>
      </c>
      <c r="Z22" s="3">
        <f t="shared" si="0"/>
        <v>7.1814787084698173</v>
      </c>
      <c r="AA22" s="3">
        <f t="shared" si="0"/>
        <v>117.49695145789217</v>
      </c>
      <c r="AB22" s="3">
        <f t="shared" si="0"/>
        <v>41.168483290488432</v>
      </c>
      <c r="AC22" s="3">
        <f t="shared" si="0"/>
        <v>32.058668845315907</v>
      </c>
      <c r="AD22" s="3">
        <f t="shared" si="0"/>
        <v>112.14223705501618</v>
      </c>
      <c r="AE22" s="3">
        <f t="shared" si="0"/>
        <v>42.318406818554337</v>
      </c>
      <c r="AF22" s="3">
        <f t="shared" si="0"/>
        <v>93.306544647809218</v>
      </c>
      <c r="AG22" s="3">
        <f t="shared" si="0"/>
        <v>68.150523144344021</v>
      </c>
      <c r="AH22" s="3">
        <f t="shared" si="0"/>
        <v>92.836838662256525</v>
      </c>
      <c r="AI22" s="3">
        <f t="shared" ref="AI22:BL22" si="1">AI21/AI12</f>
        <v>156.46466944497064</v>
      </c>
      <c r="AJ22" s="3">
        <f t="shared" si="1"/>
        <v>89.330795180722887</v>
      </c>
      <c r="AK22" s="3">
        <f t="shared" si="1"/>
        <v>56.957817786745302</v>
      </c>
      <c r="AL22" s="3">
        <f t="shared" si="1"/>
        <v>35.383050847457625</v>
      </c>
      <c r="AM22" s="3">
        <f t="shared" si="1"/>
        <v>95.827104907699237</v>
      </c>
      <c r="AN22" s="3">
        <f t="shared" si="1"/>
        <v>45.880070377479207</v>
      </c>
      <c r="AO22" s="3">
        <f t="shared" si="1"/>
        <v>108.12903877134572</v>
      </c>
      <c r="AP22" s="3">
        <f t="shared" si="1"/>
        <v>108.43696027633851</v>
      </c>
      <c r="AQ22" s="3">
        <f t="shared" si="1"/>
        <v>44.75431719590491</v>
      </c>
      <c r="AR22" s="3">
        <f t="shared" si="1"/>
        <v>29.478700000000003</v>
      </c>
      <c r="AS22" s="3">
        <f t="shared" si="1"/>
        <v>22.516161342717922</v>
      </c>
      <c r="AT22" s="3">
        <f t="shared" si="1"/>
        <v>-14.97409214092141</v>
      </c>
      <c r="AU22" s="3">
        <f t="shared" si="1"/>
        <v>97.395302163640892</v>
      </c>
      <c r="AV22" s="3">
        <f t="shared" si="1"/>
        <v>77.911332007952282</v>
      </c>
      <c r="AW22" s="3">
        <f t="shared" si="1"/>
        <v>99.087630172243124</v>
      </c>
      <c r="AX22" s="3">
        <f t="shared" si="1"/>
        <v>27.49490474478792</v>
      </c>
      <c r="AY22" s="3">
        <f t="shared" si="1"/>
        <v>144.49037226277372</v>
      </c>
      <c r="AZ22" s="3">
        <f t="shared" si="1"/>
        <v>121.99360827250608</v>
      </c>
      <c r="BA22" s="3">
        <f t="shared" si="1"/>
        <v>150.32687066402377</v>
      </c>
      <c r="BB22" s="3">
        <f t="shared" si="1"/>
        <v>102.62526010404162</v>
      </c>
      <c r="BC22" s="3">
        <f t="shared" si="1"/>
        <v>12.661179173047474</v>
      </c>
      <c r="BD22" s="3">
        <f t="shared" si="1"/>
        <v>104.54193678006965</v>
      </c>
      <c r="BE22" s="3">
        <f t="shared" si="1"/>
        <v>139.7830889736895</v>
      </c>
      <c r="BF22" s="3">
        <f t="shared" si="1"/>
        <v>121.65224368997096</v>
      </c>
      <c r="BG22" s="3">
        <f t="shared" si="1"/>
        <v>128.47795454545454</v>
      </c>
      <c r="BH22" s="3">
        <f t="shared" ref="BH22" si="2">BH21/BH12</f>
        <v>96.480673624288428</v>
      </c>
      <c r="BI22" s="3">
        <f t="shared" si="1"/>
        <v>69.329240751501061</v>
      </c>
      <c r="BJ22" s="3">
        <f t="shared" si="1"/>
        <v>96.378628783199503</v>
      </c>
      <c r="BK22" s="3">
        <f t="shared" si="1"/>
        <v>22.981602739726029</v>
      </c>
      <c r="BL22" s="3">
        <f t="shared" si="1"/>
        <v>84.829396802325576</v>
      </c>
      <c r="BM22" s="3">
        <f t="shared" ref="BM22:BZ22" si="3">BM21/BM12</f>
        <v>66.026028780610957</v>
      </c>
      <c r="BN22" s="3">
        <f t="shared" si="3"/>
        <v>90.550817013463899</v>
      </c>
      <c r="BO22" s="3">
        <f t="shared" si="3"/>
        <v>86.143218133179104</v>
      </c>
      <c r="BP22" s="3">
        <f t="shared" si="3"/>
        <v>150.71995596400535</v>
      </c>
      <c r="BQ22" s="3">
        <f t="shared" si="3"/>
        <v>126.54126929674099</v>
      </c>
      <c r="BR22" s="3">
        <f t="shared" si="3"/>
        <v>175.52795281365877</v>
      </c>
      <c r="BS22" s="3">
        <f t="shared" si="3"/>
        <v>23.450588353011806</v>
      </c>
      <c r="BT22" s="3">
        <f t="shared" si="3"/>
        <v>51.215553618134258</v>
      </c>
      <c r="BU22" s="3">
        <f t="shared" si="3"/>
        <v>3.9162082514734777</v>
      </c>
      <c r="BV22" s="3">
        <f t="shared" si="3"/>
        <v>11.167603873789441</v>
      </c>
      <c r="BW22" s="3">
        <f t="shared" si="3"/>
        <v>104.40697574893011</v>
      </c>
      <c r="BX22" s="3">
        <f t="shared" si="3"/>
        <v>23.946619385342789</v>
      </c>
      <c r="BY22" s="3">
        <f t="shared" si="3"/>
        <v>177.18604024943309</v>
      </c>
      <c r="BZ22" s="3">
        <f t="shared" si="3"/>
        <v>108.99284289569401</v>
      </c>
    </row>
    <row r="23" spans="1:80" x14ac:dyDescent="0.2"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80" s="19" customFormat="1" x14ac:dyDescent="0.2">
      <c r="B24" s="19" t="s">
        <v>182</v>
      </c>
      <c r="C24" s="13">
        <f>SUM(D24:BZ24)</f>
        <v>9455885.3920856919</v>
      </c>
      <c r="D24" s="13">
        <f>IF(D22&lt;$C22,0,(D22-$C22)*$C19*D12)</f>
        <v>6882947.9552448131</v>
      </c>
      <c r="E24" s="13">
        <f t="shared" ref="E24:BN24" si="4">IF(E22&lt;$C22,0,(E22-$C22)*$C19*E12)</f>
        <v>0</v>
      </c>
      <c r="F24" s="13">
        <f t="shared" si="4"/>
        <v>0</v>
      </c>
      <c r="G24" s="13">
        <f t="shared" si="4"/>
        <v>0</v>
      </c>
      <c r="H24" s="13">
        <f t="shared" si="4"/>
        <v>0</v>
      </c>
      <c r="I24" s="13">
        <f t="shared" si="4"/>
        <v>0</v>
      </c>
      <c r="J24" s="13">
        <f t="shared" si="4"/>
        <v>58569.879309253352</v>
      </c>
      <c r="K24" s="13">
        <f t="shared" si="4"/>
        <v>0</v>
      </c>
      <c r="L24" s="13">
        <f t="shared" si="4"/>
        <v>0</v>
      </c>
      <c r="M24" s="13">
        <f t="shared" si="4"/>
        <v>0</v>
      </c>
      <c r="N24" s="13">
        <f t="shared" si="4"/>
        <v>0</v>
      </c>
      <c r="O24" s="13">
        <f t="shared" si="4"/>
        <v>92586.245840499687</v>
      </c>
      <c r="P24" s="13">
        <f t="shared" si="4"/>
        <v>435175.27891503478</v>
      </c>
      <c r="Q24" s="13">
        <f t="shared" si="4"/>
        <v>0</v>
      </c>
      <c r="R24" s="13">
        <f t="shared" si="4"/>
        <v>0</v>
      </c>
      <c r="S24" s="13">
        <f t="shared" si="4"/>
        <v>368994.76531329169</v>
      </c>
      <c r="T24" s="13">
        <f t="shared" si="4"/>
        <v>0</v>
      </c>
      <c r="U24" s="13">
        <f t="shared" si="4"/>
        <v>0</v>
      </c>
      <c r="V24" s="13">
        <f t="shared" si="4"/>
        <v>0</v>
      </c>
      <c r="W24" s="13">
        <f t="shared" si="4"/>
        <v>0</v>
      </c>
      <c r="X24" s="13">
        <f t="shared" si="4"/>
        <v>171581.53950979083</v>
      </c>
      <c r="Y24" s="13">
        <f t="shared" si="4"/>
        <v>0</v>
      </c>
      <c r="Z24" s="13">
        <f t="shared" si="4"/>
        <v>0</v>
      </c>
      <c r="AA24" s="13">
        <f t="shared" si="4"/>
        <v>0</v>
      </c>
      <c r="AB24" s="13">
        <f t="shared" si="4"/>
        <v>0</v>
      </c>
      <c r="AC24" s="13">
        <f t="shared" si="4"/>
        <v>0</v>
      </c>
      <c r="AD24" s="13">
        <f t="shared" si="4"/>
        <v>0</v>
      </c>
      <c r="AE24" s="13">
        <f t="shared" si="4"/>
        <v>0</v>
      </c>
      <c r="AF24" s="13">
        <f t="shared" si="4"/>
        <v>0</v>
      </c>
      <c r="AG24" s="13">
        <f t="shared" si="4"/>
        <v>0</v>
      </c>
      <c r="AH24" s="13">
        <f t="shared" si="4"/>
        <v>0</v>
      </c>
      <c r="AI24" s="13">
        <f t="shared" si="4"/>
        <v>85632.463380839632</v>
      </c>
      <c r="AJ24" s="13">
        <f t="shared" si="4"/>
        <v>0</v>
      </c>
      <c r="AK24" s="13">
        <f t="shared" si="4"/>
        <v>0</v>
      </c>
      <c r="AL24" s="13">
        <f t="shared" si="4"/>
        <v>0</v>
      </c>
      <c r="AM24" s="13">
        <f t="shared" si="4"/>
        <v>0</v>
      </c>
      <c r="AN24" s="13">
        <f t="shared" si="4"/>
        <v>0</v>
      </c>
      <c r="AO24" s="13">
        <f t="shared" si="4"/>
        <v>0</v>
      </c>
      <c r="AP24" s="13">
        <f t="shared" si="4"/>
        <v>0</v>
      </c>
      <c r="AQ24" s="13">
        <f t="shared" si="4"/>
        <v>0</v>
      </c>
      <c r="AR24" s="13">
        <f t="shared" si="4"/>
        <v>0</v>
      </c>
      <c r="AS24" s="13">
        <f t="shared" si="4"/>
        <v>0</v>
      </c>
      <c r="AT24" s="13">
        <f t="shared" si="4"/>
        <v>0</v>
      </c>
      <c r="AU24" s="13">
        <f t="shared" si="4"/>
        <v>0</v>
      </c>
      <c r="AV24" s="13">
        <f t="shared" si="4"/>
        <v>0</v>
      </c>
      <c r="AW24" s="13">
        <f t="shared" si="4"/>
        <v>0</v>
      </c>
      <c r="AX24" s="13">
        <f t="shared" si="4"/>
        <v>0</v>
      </c>
      <c r="AY24" s="13">
        <f t="shared" si="4"/>
        <v>61901.829935357331</v>
      </c>
      <c r="AZ24" s="13">
        <f t="shared" si="4"/>
        <v>0</v>
      </c>
      <c r="BA24" s="13">
        <f t="shared" si="4"/>
        <v>354242.2939377685</v>
      </c>
      <c r="BB24" s="13">
        <f t="shared" si="4"/>
        <v>0</v>
      </c>
      <c r="BC24" s="13">
        <f t="shared" si="4"/>
        <v>0</v>
      </c>
      <c r="BD24" s="13">
        <f t="shared" si="4"/>
        <v>0</v>
      </c>
      <c r="BE24" s="13">
        <f t="shared" si="4"/>
        <v>30931.50733987509</v>
      </c>
      <c r="BF24" s="13">
        <f t="shared" si="4"/>
        <v>0</v>
      </c>
      <c r="BG24" s="13">
        <f t="shared" si="4"/>
        <v>0</v>
      </c>
      <c r="BH24" s="13">
        <f t="shared" ref="BH24" si="5">IF(BH22&lt;$C22,0,(BH22-$C22)*$C19*BH12)</f>
        <v>0</v>
      </c>
      <c r="BI24" s="13">
        <f t="shared" si="4"/>
        <v>0</v>
      </c>
      <c r="BJ24" s="13">
        <f t="shared" si="4"/>
        <v>0</v>
      </c>
      <c r="BK24" s="13">
        <f t="shared" si="4"/>
        <v>0</v>
      </c>
      <c r="BL24" s="13">
        <f t="shared" si="4"/>
        <v>0</v>
      </c>
      <c r="BM24" s="13">
        <f t="shared" si="4"/>
        <v>0</v>
      </c>
      <c r="BN24" s="13">
        <f t="shared" si="4"/>
        <v>0</v>
      </c>
      <c r="BO24" s="13">
        <f t="shared" ref="BO24:BZ24" si="6">IF(BO22&lt;$C22,0,(BO22-$C22)*$C19*BO12)</f>
        <v>0</v>
      </c>
      <c r="BP24" s="13">
        <f t="shared" si="6"/>
        <v>133442.57026638577</v>
      </c>
      <c r="BQ24" s="13">
        <f t="shared" si="6"/>
        <v>0</v>
      </c>
      <c r="BR24" s="13">
        <f t="shared" si="6"/>
        <v>678787.17149103712</v>
      </c>
      <c r="BS24" s="13">
        <f t="shared" si="6"/>
        <v>0</v>
      </c>
      <c r="BT24" s="13">
        <f t="shared" si="6"/>
        <v>0</v>
      </c>
      <c r="BU24" s="13">
        <f t="shared" si="6"/>
        <v>0</v>
      </c>
      <c r="BV24" s="13">
        <f t="shared" si="6"/>
        <v>0</v>
      </c>
      <c r="BW24" s="13">
        <f t="shared" si="6"/>
        <v>0</v>
      </c>
      <c r="BX24" s="13">
        <f t="shared" si="6"/>
        <v>0</v>
      </c>
      <c r="BY24" s="13">
        <f t="shared" si="6"/>
        <v>101091.89160174315</v>
      </c>
      <c r="BZ24" s="13">
        <f t="shared" si="6"/>
        <v>0</v>
      </c>
    </row>
    <row r="25" spans="1:80" x14ac:dyDescent="0.2"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</row>
    <row r="26" spans="1:80" x14ac:dyDescent="0.2">
      <c r="C26" s="3"/>
      <c r="D26" s="3"/>
      <c r="E26" s="4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80" s="19" customFormat="1" x14ac:dyDescent="0.2">
      <c r="A27" s="46" t="s">
        <v>129</v>
      </c>
      <c r="B27" s="44" t="s">
        <v>183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4"/>
      <c r="CB27" s="44"/>
    </row>
    <row r="28" spans="1:80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</row>
    <row r="29" spans="1:80" x14ac:dyDescent="0.2">
      <c r="B29" t="s">
        <v>185</v>
      </c>
      <c r="C29" s="8">
        <v>0.6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80" s="19" customFormat="1" x14ac:dyDescent="0.2">
      <c r="B30" t="s">
        <v>186</v>
      </c>
      <c r="C30" s="8">
        <v>0.2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</row>
    <row r="31" spans="1:80" s="19" customFormat="1" x14ac:dyDescent="0.2">
      <c r="B31"/>
      <c r="C31" s="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</row>
    <row r="32" spans="1:80" x14ac:dyDescent="0.2">
      <c r="B32" t="s">
        <v>191</v>
      </c>
      <c r="C32" s="3">
        <f>SUM(D32:BZ32)</f>
        <v>62351304.679999985</v>
      </c>
      <c r="D32" s="10">
        <v>21922831</v>
      </c>
      <c r="E32" s="10">
        <v>1493369.23</v>
      </c>
      <c r="F32" s="10">
        <v>12565.6</v>
      </c>
      <c r="G32" s="10">
        <v>93176.21</v>
      </c>
      <c r="H32" s="10">
        <v>-38034.43</v>
      </c>
      <c r="I32" s="10">
        <v>329049.58</v>
      </c>
      <c r="J32" s="10">
        <v>174643.75</v>
      </c>
      <c r="K32" s="121">
        <v>-1290</v>
      </c>
      <c r="L32" s="10">
        <v>-116432.05</v>
      </c>
      <c r="M32" s="10">
        <v>21350.15</v>
      </c>
      <c r="N32" s="10">
        <v>-13670.85</v>
      </c>
      <c r="O32" s="10">
        <v>1316689.0900000001</v>
      </c>
      <c r="P32" s="10">
        <v>1548197.14</v>
      </c>
      <c r="Q32" s="10">
        <v>368511.31</v>
      </c>
      <c r="R32" s="10">
        <v>316447.71000000002</v>
      </c>
      <c r="S32" s="10">
        <v>597625.80000000005</v>
      </c>
      <c r="T32" s="10">
        <v>1293348.3700000001</v>
      </c>
      <c r="U32" s="10">
        <v>221580</v>
      </c>
      <c r="V32" s="10">
        <v>196545.24</v>
      </c>
      <c r="W32" s="10">
        <v>439503.06</v>
      </c>
      <c r="X32" s="10">
        <v>304808.03999999998</v>
      </c>
      <c r="Y32" s="10">
        <v>338192</v>
      </c>
      <c r="Z32" s="10">
        <v>96304.47</v>
      </c>
      <c r="AA32" s="10">
        <v>848121.77</v>
      </c>
      <c r="AB32" s="10">
        <v>99176.6</v>
      </c>
      <c r="AC32" s="10">
        <v>-256615.83</v>
      </c>
      <c r="AD32" s="10">
        <v>-90395.55</v>
      </c>
      <c r="AE32" s="10">
        <v>311299.75</v>
      </c>
      <c r="AF32" s="10">
        <v>98919.15</v>
      </c>
      <c r="AG32" s="10">
        <v>249715.69</v>
      </c>
      <c r="AH32" s="10">
        <v>1216643.67</v>
      </c>
      <c r="AI32" s="10">
        <v>620116.19999999995</v>
      </c>
      <c r="AJ32" s="10">
        <v>359013.49</v>
      </c>
      <c r="AK32" s="10">
        <v>521343</v>
      </c>
      <c r="AL32" s="10">
        <v>303584</v>
      </c>
      <c r="AM32" s="10">
        <v>218450</v>
      </c>
      <c r="AN32" s="10">
        <v>130320.05</v>
      </c>
      <c r="AO32" s="10">
        <v>575423.72</v>
      </c>
      <c r="AP32" s="10">
        <v>301994.23</v>
      </c>
      <c r="AQ32" s="10">
        <v>223984.52</v>
      </c>
      <c r="AR32" s="10">
        <v>-20198.7</v>
      </c>
      <c r="AS32" s="10">
        <v>98810.55</v>
      </c>
      <c r="AT32" s="10">
        <v>225297.42</v>
      </c>
      <c r="AU32" s="10">
        <v>349133.79</v>
      </c>
      <c r="AV32" s="10">
        <v>261021.6</v>
      </c>
      <c r="AW32" s="10">
        <v>850219.05</v>
      </c>
      <c r="AX32" s="10">
        <v>220828.95</v>
      </c>
      <c r="AY32" s="10">
        <v>410960.32</v>
      </c>
      <c r="AZ32" s="10">
        <v>600022.15</v>
      </c>
      <c r="BA32" s="10">
        <v>3892005.94</v>
      </c>
      <c r="BB32" s="10">
        <v>547844.72</v>
      </c>
      <c r="BC32" s="10">
        <v>65109.599999999999</v>
      </c>
      <c r="BD32" s="10">
        <v>203567.8</v>
      </c>
      <c r="BE32" s="10">
        <v>673582.62</v>
      </c>
      <c r="BF32" s="10">
        <v>1522236.19</v>
      </c>
      <c r="BG32" s="10">
        <v>206705.32</v>
      </c>
      <c r="BH32" s="121">
        <v>285872.7</v>
      </c>
      <c r="BI32" s="10">
        <v>441285.45</v>
      </c>
      <c r="BJ32" s="10">
        <v>16680.849999999999</v>
      </c>
      <c r="BK32" s="10">
        <v>13573.37</v>
      </c>
      <c r="BL32" s="10">
        <v>2244450.98</v>
      </c>
      <c r="BM32" s="10">
        <v>191687.41</v>
      </c>
      <c r="BN32" s="10">
        <v>349487.85</v>
      </c>
      <c r="BO32" s="10">
        <v>305575.56</v>
      </c>
      <c r="BP32" s="10">
        <v>2251793.9</v>
      </c>
      <c r="BQ32" s="10">
        <v>436651.15</v>
      </c>
      <c r="BR32" s="10">
        <v>5508967.8099999996</v>
      </c>
      <c r="BS32" s="10">
        <v>180745.11</v>
      </c>
      <c r="BT32" s="10">
        <v>171825.85</v>
      </c>
      <c r="BU32" s="10">
        <v>138002.70000000001</v>
      </c>
      <c r="BV32" s="10">
        <v>130415.3</v>
      </c>
      <c r="BW32" s="10">
        <v>1464160.75</v>
      </c>
      <c r="BX32" s="10">
        <v>126725.4</v>
      </c>
      <c r="BY32" s="10">
        <v>402235.34</v>
      </c>
      <c r="BZ32" s="10">
        <v>937615</v>
      </c>
      <c r="CB32" t="s">
        <v>119</v>
      </c>
    </row>
    <row r="33" spans="1:80" x14ac:dyDescent="0.2">
      <c r="B33" t="s">
        <v>188</v>
      </c>
      <c r="C33" s="3">
        <f t="shared" ref="C33:AH33" si="7">C32/C12</f>
        <v>118.54603935227873</v>
      </c>
      <c r="D33" s="3">
        <f t="shared" si="7"/>
        <v>284.96745135251069</v>
      </c>
      <c r="E33" s="3">
        <f t="shared" si="7"/>
        <v>150.63236130724229</v>
      </c>
      <c r="F33" s="3">
        <f t="shared" si="7"/>
        <v>9.0205312275664031</v>
      </c>
      <c r="G33" s="3">
        <f t="shared" si="7"/>
        <v>74.362498004788506</v>
      </c>
      <c r="H33" s="3">
        <f t="shared" si="7"/>
        <v>-10.509651837524178</v>
      </c>
      <c r="I33" s="3">
        <f t="shared" si="7"/>
        <v>34.412212926166077</v>
      </c>
      <c r="J33" s="3">
        <f t="shared" si="7"/>
        <v>48.742324867429531</v>
      </c>
      <c r="K33" s="3">
        <f t="shared" si="7"/>
        <v>-1.3056680161943319</v>
      </c>
      <c r="L33" s="3">
        <f t="shared" si="7"/>
        <v>-73.366131064902333</v>
      </c>
      <c r="M33" s="3">
        <f t="shared" si="7"/>
        <v>20.809113060428853</v>
      </c>
      <c r="N33" s="3">
        <f t="shared" si="7"/>
        <v>-5.7829314720812182</v>
      </c>
      <c r="O33" s="3">
        <f t="shared" si="7"/>
        <v>172.793843832021</v>
      </c>
      <c r="P33" s="3">
        <f t="shared" si="7"/>
        <v>158.35093996113326</v>
      </c>
      <c r="Q33" s="3">
        <f t="shared" si="7"/>
        <v>53.299292739369392</v>
      </c>
      <c r="R33" s="3">
        <f t="shared" si="7"/>
        <v>90.907127262280966</v>
      </c>
      <c r="S33" s="3">
        <f t="shared" si="7"/>
        <v>95.635429668747008</v>
      </c>
      <c r="T33" s="3">
        <f t="shared" si="7"/>
        <v>156.73150387784781</v>
      </c>
      <c r="U33" s="3">
        <f t="shared" si="7"/>
        <v>55.912187736563212</v>
      </c>
      <c r="V33" s="3">
        <f t="shared" si="7"/>
        <v>38.789271758436946</v>
      </c>
      <c r="W33" s="3">
        <f t="shared" si="7"/>
        <v>63.797802293511396</v>
      </c>
      <c r="X33" s="3">
        <f t="shared" si="7"/>
        <v>29.947734328944779</v>
      </c>
      <c r="Y33" s="3">
        <f t="shared" si="7"/>
        <v>68.934366082348149</v>
      </c>
      <c r="Z33" s="3">
        <f t="shared" si="7"/>
        <v>45.065264389330835</v>
      </c>
      <c r="AA33" s="3">
        <f t="shared" si="7"/>
        <v>69.076540967584293</v>
      </c>
      <c r="AB33" s="3">
        <f t="shared" si="7"/>
        <v>63.73817480719795</v>
      </c>
      <c r="AC33" s="3">
        <f t="shared" si="7"/>
        <v>-27.953794117647057</v>
      </c>
      <c r="AD33" s="3">
        <f t="shared" si="7"/>
        <v>-36.567779126213594</v>
      </c>
      <c r="AE33" s="3">
        <f t="shared" si="7"/>
        <v>51.02438124897558</v>
      </c>
      <c r="AF33" s="3">
        <f t="shared" si="7"/>
        <v>27.431821963394341</v>
      </c>
      <c r="AG33" s="3">
        <f t="shared" si="7"/>
        <v>34.198259380991509</v>
      </c>
      <c r="AH33" s="3">
        <f t="shared" si="7"/>
        <v>89.426216097023143</v>
      </c>
      <c r="AI33" s="3">
        <f t="shared" ref="AI33:BL33" si="8">AI32/AI12</f>
        <v>117.46849782155711</v>
      </c>
      <c r="AJ33" s="3">
        <f t="shared" si="8"/>
        <v>66.545595922150142</v>
      </c>
      <c r="AK33" s="3">
        <f t="shared" si="8"/>
        <v>80.916188111128363</v>
      </c>
      <c r="AL33" s="3">
        <f t="shared" si="8"/>
        <v>60.535194416749754</v>
      </c>
      <c r="AM33" s="3">
        <f t="shared" si="8"/>
        <v>32.785532042623444</v>
      </c>
      <c r="AN33" s="3">
        <f t="shared" si="8"/>
        <v>83.378150991682659</v>
      </c>
      <c r="AO33" s="3">
        <f t="shared" si="8"/>
        <v>61.800421007410584</v>
      </c>
      <c r="AP33" s="3">
        <f t="shared" si="8"/>
        <v>57.953220111303011</v>
      </c>
      <c r="AQ33" s="3">
        <f t="shared" si="8"/>
        <v>38.865958702064894</v>
      </c>
      <c r="AR33" s="3">
        <f t="shared" si="8"/>
        <v>-6.7328999999999999</v>
      </c>
      <c r="AS33" s="3">
        <f t="shared" si="8"/>
        <v>53.497861396859776</v>
      </c>
      <c r="AT33" s="3">
        <f t="shared" si="8"/>
        <v>122.11242276422765</v>
      </c>
      <c r="AU33" s="3">
        <f t="shared" si="8"/>
        <v>86.827602586421278</v>
      </c>
      <c r="AV33" s="3">
        <f t="shared" si="8"/>
        <v>86.488270377733599</v>
      </c>
      <c r="AW33" s="3">
        <f t="shared" si="8"/>
        <v>168.32687586616512</v>
      </c>
      <c r="AX33" s="3">
        <f t="shared" si="8"/>
        <v>39.688883896477357</v>
      </c>
      <c r="AY33" s="3">
        <f t="shared" si="8"/>
        <v>59.994207299270073</v>
      </c>
      <c r="AZ33" s="3">
        <f t="shared" si="8"/>
        <v>145.99079075425792</v>
      </c>
      <c r="BA33" s="3">
        <f t="shared" si="8"/>
        <v>137.76036882344613</v>
      </c>
      <c r="BB33" s="3">
        <f t="shared" si="8"/>
        <v>54.806394557823126</v>
      </c>
      <c r="BC33" s="3">
        <f t="shared" si="8"/>
        <v>24.927105666156201</v>
      </c>
      <c r="BD33" s="3">
        <f t="shared" si="8"/>
        <v>54.531958210554514</v>
      </c>
      <c r="BE33" s="3">
        <f t="shared" si="8"/>
        <v>135.28471982325769</v>
      </c>
      <c r="BF33" s="3">
        <f t="shared" si="8"/>
        <v>170.00627540763904</v>
      </c>
      <c r="BG33" s="3">
        <f t="shared" si="8"/>
        <v>104.39662626262627</v>
      </c>
      <c r="BH33" s="3">
        <f t="shared" ref="BH33" si="9">BH32/BH12</f>
        <v>45.204411764705881</v>
      </c>
      <c r="BI33" s="3">
        <f t="shared" si="8"/>
        <v>85.470743753631609</v>
      </c>
      <c r="BJ33" s="3">
        <f t="shared" si="8"/>
        <v>10.303180975911056</v>
      </c>
      <c r="BK33" s="3">
        <f t="shared" si="8"/>
        <v>4.6484143835616445</v>
      </c>
      <c r="BL33" s="3">
        <f t="shared" si="8"/>
        <v>233.02024294019932</v>
      </c>
      <c r="BM33" s="3">
        <f t="shared" ref="BM33:BZ33" si="10">BM32/BM12</f>
        <v>48.393690987124465</v>
      </c>
      <c r="BN33" s="3">
        <f t="shared" si="10"/>
        <v>53.471213280293753</v>
      </c>
      <c r="BO33" s="3">
        <f t="shared" si="10"/>
        <v>22.09352613693876</v>
      </c>
      <c r="BP33" s="3">
        <f t="shared" si="10"/>
        <v>215.56518284510815</v>
      </c>
      <c r="BQ33" s="3">
        <f t="shared" si="10"/>
        <v>106.99611614800294</v>
      </c>
      <c r="BR33" s="3">
        <f t="shared" si="10"/>
        <v>224.48016828980073</v>
      </c>
      <c r="BS33" s="3">
        <f t="shared" si="10"/>
        <v>36.170724434660791</v>
      </c>
      <c r="BT33" s="3">
        <f t="shared" si="10"/>
        <v>37.451144289450745</v>
      </c>
      <c r="BU33" s="3">
        <f t="shared" si="10"/>
        <v>90.375049115913569</v>
      </c>
      <c r="BV33" s="3">
        <f t="shared" si="10"/>
        <v>40.742049359575134</v>
      </c>
      <c r="BW33" s="3">
        <f t="shared" si="10"/>
        <v>80.333630527817405</v>
      </c>
      <c r="BX33" s="3">
        <f t="shared" si="10"/>
        <v>59.917446808510633</v>
      </c>
      <c r="BY33" s="3">
        <f t="shared" si="10"/>
        <v>114.01228458049887</v>
      </c>
      <c r="BZ33" s="3">
        <f t="shared" si="10"/>
        <v>110.00997301419687</v>
      </c>
    </row>
    <row r="34" spans="1:80" s="19" customFormat="1" x14ac:dyDescent="0.2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</row>
    <row r="35" spans="1:80" s="19" customFormat="1" x14ac:dyDescent="0.2">
      <c r="B35" s="19" t="s">
        <v>183</v>
      </c>
      <c r="C35" s="13">
        <f>SUM(D35:BZ35)</f>
        <v>8164921.8520233463</v>
      </c>
      <c r="D35" s="13">
        <f t="shared" ref="D35:AI35" si="11">IF(D33-$C33&gt;0,(D33-$C33)*D12*$C29,(D33-$C33)*D12*$C30)</f>
        <v>7681779.3879539054</v>
      </c>
      <c r="E35" s="13">
        <f t="shared" si="11"/>
        <v>190862.27751690528</v>
      </c>
      <c r="F35" s="13">
        <f t="shared" si="11"/>
        <v>-30513.806563544851</v>
      </c>
      <c r="G35" s="13">
        <f t="shared" si="11"/>
        <v>-11072.39546168105</v>
      </c>
      <c r="H35" s="13">
        <f t="shared" si="11"/>
        <v>-93410.509283179344</v>
      </c>
      <c r="I35" s="13">
        <f t="shared" si="11"/>
        <v>-160897.52965729786</v>
      </c>
      <c r="J35" s="13">
        <f t="shared" si="11"/>
        <v>-50021.341799842936</v>
      </c>
      <c r="K35" s="13">
        <f t="shared" si="11"/>
        <v>-23682.697376010277</v>
      </c>
      <c r="L35" s="13">
        <f t="shared" si="11"/>
        <v>-60912.922890413276</v>
      </c>
      <c r="M35" s="13">
        <f t="shared" si="11"/>
        <v>-20055.617275087596</v>
      </c>
      <c r="N35" s="13">
        <f t="shared" si="11"/>
        <v>-58782.737405757391</v>
      </c>
      <c r="O35" s="13">
        <f t="shared" si="11"/>
        <v>248020.96208138164</v>
      </c>
      <c r="P35" s="13">
        <f t="shared" si="11"/>
        <v>233503.5079516625</v>
      </c>
      <c r="Q35" s="13">
        <f t="shared" si="11"/>
        <v>-90223.201216331043</v>
      </c>
      <c r="R35" s="13">
        <f t="shared" si="11"/>
        <v>-19242.210597056441</v>
      </c>
      <c r="S35" s="13">
        <f t="shared" si="11"/>
        <v>-28633.679982477941</v>
      </c>
      <c r="T35" s="13">
        <f t="shared" si="11"/>
        <v>189063.87195899765</v>
      </c>
      <c r="U35" s="13">
        <f t="shared" si="11"/>
        <v>-49643.590790616116</v>
      </c>
      <c r="V35" s="13">
        <f t="shared" si="11"/>
        <v>-80825.508279599249</v>
      </c>
      <c r="W35" s="13">
        <f t="shared" si="11"/>
        <v>-75432.121019569633</v>
      </c>
      <c r="X35" s="13">
        <f t="shared" si="11"/>
        <v>-180350.70970549859</v>
      </c>
      <c r="Y35" s="13">
        <f t="shared" si="11"/>
        <v>-48678.973812455886</v>
      </c>
      <c r="Z35" s="13">
        <f t="shared" si="11"/>
        <v>-31405.68321916393</v>
      </c>
      <c r="AA35" s="13">
        <f t="shared" si="11"/>
        <v>-121477.30023345567</v>
      </c>
      <c r="AB35" s="13">
        <f t="shared" si="11"/>
        <v>-17056.207446429136</v>
      </c>
      <c r="AC35" s="13">
        <f t="shared" si="11"/>
        <v>-268973.69425078377</v>
      </c>
      <c r="AD35" s="13">
        <f t="shared" si="11"/>
        <v>-76688.271855766594</v>
      </c>
      <c r="AE35" s="13">
        <f t="shared" si="11"/>
        <v>-82389.927217650504</v>
      </c>
      <c r="AF35" s="13">
        <f t="shared" si="11"/>
        <v>-65711.57358086342</v>
      </c>
      <c r="AG35" s="13">
        <f t="shared" si="11"/>
        <v>-123181.49787006786</v>
      </c>
      <c r="AH35" s="13">
        <f t="shared" si="11"/>
        <v>-79235.039077550449</v>
      </c>
      <c r="AI35" s="13">
        <f t="shared" si="11"/>
        <v>-1137.6683481358841</v>
      </c>
      <c r="AJ35" s="13">
        <f t="shared" ref="AJ35:BM35" si="12">IF(AJ33-$C33&gt;0,(AJ33-$C33)*AJ12*$C29,(AJ33-$C33)*AJ12*$C30)</f>
        <v>-56108.478461108745</v>
      </c>
      <c r="AK35" s="13">
        <f t="shared" si="12"/>
        <v>-48489.826309346361</v>
      </c>
      <c r="AL35" s="13">
        <f t="shared" si="12"/>
        <v>-58184.877470335567</v>
      </c>
      <c r="AM35" s="13">
        <f t="shared" si="12"/>
        <v>-114284.45204084663</v>
      </c>
      <c r="AN35" s="13">
        <f t="shared" si="12"/>
        <v>-10993.481901522331</v>
      </c>
      <c r="AO35" s="13">
        <f t="shared" si="12"/>
        <v>-105671.69048181346</v>
      </c>
      <c r="AP35" s="13">
        <f t="shared" si="12"/>
        <v>-63149.836212944894</v>
      </c>
      <c r="AQ35" s="13">
        <f t="shared" si="12"/>
        <v>-91839.260957436461</v>
      </c>
      <c r="AR35" s="13">
        <f t="shared" si="12"/>
        <v>-75167.36361136724</v>
      </c>
      <c r="AS35" s="13">
        <f t="shared" si="12"/>
        <v>-24028.79693673176</v>
      </c>
      <c r="AT35" s="13">
        <f t="shared" si="12"/>
        <v>3947.9864370274536</v>
      </c>
      <c r="AU35" s="13">
        <f t="shared" si="12"/>
        <v>-25507.966847102562</v>
      </c>
      <c r="AV35" s="13">
        <f t="shared" si="12"/>
        <v>-19350.06935303544</v>
      </c>
      <c r="AW35" s="13">
        <f t="shared" si="12"/>
        <v>150865.80313898413</v>
      </c>
      <c r="AX35" s="13">
        <f t="shared" si="12"/>
        <v>-87752.242591215778</v>
      </c>
      <c r="AY35" s="13">
        <f t="shared" si="12"/>
        <v>-80216.00991262187</v>
      </c>
      <c r="AZ35" s="13">
        <f t="shared" si="12"/>
        <v>67678.756957280682</v>
      </c>
      <c r="BA35" s="13">
        <f t="shared" si="12"/>
        <v>325705.94173165289</v>
      </c>
      <c r="BB35" s="13">
        <f t="shared" si="12"/>
        <v>-127428.29787307564</v>
      </c>
      <c r="BC35" s="13">
        <f t="shared" si="12"/>
        <v>-48906.530957630406</v>
      </c>
      <c r="BD35" s="13">
        <f t="shared" si="12"/>
        <v>-47792.912980411289</v>
      </c>
      <c r="BE35" s="13">
        <f t="shared" si="12"/>
        <v>50005.134039002558</v>
      </c>
      <c r="BF35" s="13">
        <f t="shared" si="12"/>
        <v>276464.97218381771</v>
      </c>
      <c r="BG35" s="13">
        <f t="shared" si="12"/>
        <v>-5603.1675835023725</v>
      </c>
      <c r="BH35" s="13">
        <f t="shared" ref="BH35" si="13">IF(BH33-$C33&gt;0,(BH33-$C33)*BH12*$C29,(BH33-$C33)*BH12*$C30)</f>
        <v>-92762.490572762137</v>
      </c>
      <c r="BI35" s="13">
        <f t="shared" si="12"/>
        <v>-34153.550235163013</v>
      </c>
      <c r="BJ35" s="13">
        <f t="shared" si="12"/>
        <v>-35049.037542267848</v>
      </c>
      <c r="BK35" s="13">
        <f t="shared" si="12"/>
        <v>-66516.212981730787</v>
      </c>
      <c r="BL35" s="13">
        <f t="shared" si="12"/>
        <v>661569.3173753107</v>
      </c>
      <c r="BM35" s="13">
        <f t="shared" si="12"/>
        <v>-55574.690374875208</v>
      </c>
      <c r="BN35" s="13">
        <f t="shared" ref="BN35:BZ35" si="14">IF(BN33-$C33&gt;0,(BN33-$C33)*BN12*$C29,(BN33-$C33)*BN12*$C30)</f>
        <v>-85065.812641298762</v>
      </c>
      <c r="BO35" s="13">
        <f t="shared" si="14"/>
        <v>-266806.9420562734</v>
      </c>
      <c r="BP35" s="13">
        <f t="shared" si="14"/>
        <v>608077.18375565764</v>
      </c>
      <c r="BQ35" s="13">
        <f t="shared" si="14"/>
        <v>-9427.0473193298967</v>
      </c>
      <c r="BR35" s="13">
        <f t="shared" si="14"/>
        <v>1559837.6749534362</v>
      </c>
      <c r="BS35" s="13">
        <f t="shared" si="14"/>
        <v>-82325.889728667375</v>
      </c>
      <c r="BT35" s="13">
        <f t="shared" si="14"/>
        <v>-74412.675709650954</v>
      </c>
      <c r="BU35" s="13">
        <f t="shared" si="14"/>
        <v>-8603.4204181859186</v>
      </c>
      <c r="BV35" s="13">
        <f t="shared" si="14"/>
        <v>-49810.11439332884</v>
      </c>
      <c r="BW35" s="13">
        <f t="shared" si="14"/>
        <v>-139291.87264692641</v>
      </c>
      <c r="BX35" s="13">
        <f t="shared" si="14"/>
        <v>-24799.894646013905</v>
      </c>
      <c r="BY35" s="13">
        <f t="shared" si="14"/>
        <v>-3199.0173669678657</v>
      </c>
      <c r="BZ35" s="13">
        <f t="shared" si="14"/>
        <v>-14550.578679894325</v>
      </c>
    </row>
    <row r="36" spans="1:80" s="19" customFormat="1" x14ac:dyDescent="0.2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</row>
    <row r="37" spans="1:80" s="19" customFormat="1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</row>
    <row r="38" spans="1:80" s="19" customFormat="1" x14ac:dyDescent="0.2">
      <c r="A38" s="46" t="s">
        <v>137</v>
      </c>
      <c r="B38" s="44" t="s">
        <v>184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4"/>
      <c r="CB38" s="44"/>
    </row>
    <row r="39" spans="1:80" s="19" customFormat="1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</row>
    <row r="40" spans="1:80" x14ac:dyDescent="0.2">
      <c r="B40" t="s">
        <v>185</v>
      </c>
      <c r="C40" s="8">
        <v>0.6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80" s="19" customFormat="1" x14ac:dyDescent="0.2">
      <c r="B41" t="s">
        <v>186</v>
      </c>
      <c r="C41" s="8">
        <v>0.2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</row>
    <row r="42" spans="1:80" s="19" customFormat="1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</row>
    <row r="43" spans="1:80" x14ac:dyDescent="0.2">
      <c r="B43" t="s">
        <v>189</v>
      </c>
      <c r="C43" s="3">
        <f>SUM(D43:BZ43)</f>
        <v>98735137.800000012</v>
      </c>
      <c r="D43" s="10">
        <v>17825842.050000001</v>
      </c>
      <c r="E43" s="10">
        <v>2215328</v>
      </c>
      <c r="F43" s="10">
        <v>188966.55000000002</v>
      </c>
      <c r="G43" s="10">
        <v>132286.79999999999</v>
      </c>
      <c r="H43" s="10">
        <v>694476.45</v>
      </c>
      <c r="I43" s="10">
        <v>2678223.9499999997</v>
      </c>
      <c r="J43" s="10">
        <v>513783.89999999997</v>
      </c>
      <c r="K43" s="10">
        <v>216660.25</v>
      </c>
      <c r="L43" s="10">
        <v>196272.94999999998</v>
      </c>
      <c r="M43" s="10">
        <v>122227.8</v>
      </c>
      <c r="N43" s="10">
        <v>295740.64999999997</v>
      </c>
      <c r="O43" s="10">
        <v>1189235.25</v>
      </c>
      <c r="P43" s="10">
        <v>1980258.8</v>
      </c>
      <c r="Q43" s="10">
        <v>826265.79999999993</v>
      </c>
      <c r="R43" s="10">
        <v>908314.45000000007</v>
      </c>
      <c r="S43" s="10">
        <v>1097853.1499999999</v>
      </c>
      <c r="T43" s="10">
        <v>1224972.8</v>
      </c>
      <c r="U43" s="10">
        <v>836735.55</v>
      </c>
      <c r="V43" s="10">
        <v>592865.15</v>
      </c>
      <c r="W43" s="10">
        <v>616742.5</v>
      </c>
      <c r="X43" s="10">
        <v>1195222.25</v>
      </c>
      <c r="Y43" s="10">
        <v>1199837.3</v>
      </c>
      <c r="Z43" s="10">
        <v>291657.09999999998</v>
      </c>
      <c r="AA43" s="10">
        <v>1993175.3</v>
      </c>
      <c r="AB43" s="10">
        <v>100249.7</v>
      </c>
      <c r="AC43" s="10">
        <v>657766</v>
      </c>
      <c r="AD43" s="10">
        <v>264374.09999999998</v>
      </c>
      <c r="AE43" s="10">
        <v>804955.75</v>
      </c>
      <c r="AF43" s="10">
        <v>389117.15</v>
      </c>
      <c r="AG43" s="10">
        <v>1274355.6499999999</v>
      </c>
      <c r="AH43" s="10">
        <v>2583820.9000000004</v>
      </c>
      <c r="AI43" s="10">
        <v>750557.25</v>
      </c>
      <c r="AJ43" s="10">
        <v>829828.6</v>
      </c>
      <c r="AK43" s="10">
        <v>1112482.6500000001</v>
      </c>
      <c r="AL43" s="10">
        <v>564241</v>
      </c>
      <c r="AM43" s="10">
        <v>906863.65</v>
      </c>
      <c r="AN43" s="10">
        <v>464011.5</v>
      </c>
      <c r="AO43" s="10">
        <v>1562710.8499999999</v>
      </c>
      <c r="AP43" s="10">
        <v>1128487.5999999999</v>
      </c>
      <c r="AQ43" s="10">
        <v>1296192</v>
      </c>
      <c r="AR43" s="10">
        <v>578616.6</v>
      </c>
      <c r="AS43" s="10">
        <v>285157.75</v>
      </c>
      <c r="AT43" s="10">
        <v>289156.59999999998</v>
      </c>
      <c r="AU43" s="10">
        <v>935250.0499999997</v>
      </c>
      <c r="AV43" s="10">
        <v>487574.25</v>
      </c>
      <c r="AW43" s="10">
        <v>587838.29999999993</v>
      </c>
      <c r="AX43" s="10">
        <v>723004.35</v>
      </c>
      <c r="AY43" s="10">
        <v>1219307.2</v>
      </c>
      <c r="AZ43" s="10">
        <v>620717.29999999993</v>
      </c>
      <c r="BA43" s="10">
        <v>4720484.1499999994</v>
      </c>
      <c r="BB43" s="10">
        <v>1441740.25</v>
      </c>
      <c r="BC43" s="10">
        <v>518555.15</v>
      </c>
      <c r="BD43" s="10">
        <v>971781.15</v>
      </c>
      <c r="BE43" s="10">
        <v>1430836.9000000001</v>
      </c>
      <c r="BF43" s="10">
        <v>2565068.65</v>
      </c>
      <c r="BG43" s="10">
        <v>436496.95</v>
      </c>
      <c r="BH43" s="10">
        <v>1261138.7999999998</v>
      </c>
      <c r="BI43" s="10">
        <v>999725.2</v>
      </c>
      <c r="BJ43" s="10">
        <v>258840.55000000002</v>
      </c>
      <c r="BK43" s="10">
        <v>722804.3</v>
      </c>
      <c r="BL43" s="10">
        <v>2364657.1999999997</v>
      </c>
      <c r="BM43" s="10">
        <v>622801.65</v>
      </c>
      <c r="BN43" s="10">
        <v>1125107.45</v>
      </c>
      <c r="BO43" s="10">
        <v>2375744.9</v>
      </c>
      <c r="BP43" s="10">
        <v>2020006.2</v>
      </c>
      <c r="BQ43" s="10">
        <v>1251239.3999999999</v>
      </c>
      <c r="BR43" s="10">
        <v>6226121.1000000006</v>
      </c>
      <c r="BS43" s="10">
        <v>749158.35</v>
      </c>
      <c r="BT43" s="10">
        <v>509456.75</v>
      </c>
      <c r="BU43" s="10">
        <v>174493.6</v>
      </c>
      <c r="BV43" s="10">
        <v>513277.55</v>
      </c>
      <c r="BW43" s="10">
        <v>3638303.6500000004</v>
      </c>
      <c r="BX43" s="10">
        <v>237750.1</v>
      </c>
      <c r="BY43" s="10">
        <v>729242.95</v>
      </c>
      <c r="BZ43" s="10">
        <v>1420723.4</v>
      </c>
      <c r="CB43" t="s">
        <v>228</v>
      </c>
    </row>
    <row r="44" spans="1:80" x14ac:dyDescent="0.2">
      <c r="B44" t="s">
        <v>190</v>
      </c>
      <c r="C44" s="3">
        <f t="shared" ref="C44:AH44" si="15">C43/C12</f>
        <v>187.72116463580417</v>
      </c>
      <c r="D44" s="3">
        <f t="shared" si="15"/>
        <v>231.71208030572851</v>
      </c>
      <c r="E44" s="3">
        <f t="shared" si="15"/>
        <v>223.45450877546904</v>
      </c>
      <c r="F44" s="3">
        <f t="shared" si="15"/>
        <v>135.65437903804738</v>
      </c>
      <c r="G44" s="3">
        <f t="shared" si="15"/>
        <v>105.57605746209097</v>
      </c>
      <c r="H44" s="3">
        <f t="shared" si="15"/>
        <v>191.89733351754626</v>
      </c>
      <c r="I44" s="3">
        <f t="shared" si="15"/>
        <v>280.09035243672866</v>
      </c>
      <c r="J44" s="3">
        <f t="shared" si="15"/>
        <v>143.39489254814401</v>
      </c>
      <c r="K44" s="3">
        <f t="shared" si="15"/>
        <v>219.29175101214574</v>
      </c>
      <c r="L44" s="3">
        <f t="shared" si="15"/>
        <v>123.67545683679899</v>
      </c>
      <c r="M44" s="3">
        <f t="shared" si="15"/>
        <v>119.13040935672515</v>
      </c>
      <c r="N44" s="3">
        <f t="shared" si="15"/>
        <v>125.10179780033839</v>
      </c>
      <c r="O44" s="3">
        <f t="shared" si="15"/>
        <v>156.06761811023622</v>
      </c>
      <c r="P44" s="3">
        <f t="shared" si="15"/>
        <v>202.54257952337119</v>
      </c>
      <c r="Q44" s="3">
        <f t="shared" si="15"/>
        <v>119.50619033844373</v>
      </c>
      <c r="R44" s="3">
        <f t="shared" si="15"/>
        <v>260.93491812697505</v>
      </c>
      <c r="S44" s="3">
        <f t="shared" si="15"/>
        <v>175.6846135381661</v>
      </c>
      <c r="T44" s="3">
        <f t="shared" si="15"/>
        <v>148.44556471158506</v>
      </c>
      <c r="U44" s="3">
        <f t="shared" si="15"/>
        <v>211.13690386071158</v>
      </c>
      <c r="V44" s="3">
        <f t="shared" si="15"/>
        <v>117.00516084468127</v>
      </c>
      <c r="W44" s="3">
        <f t="shared" si="15"/>
        <v>89.525693133981704</v>
      </c>
      <c r="X44" s="3">
        <f t="shared" si="15"/>
        <v>117.4319365297701</v>
      </c>
      <c r="Y44" s="3">
        <f t="shared" si="15"/>
        <v>244.56528740317978</v>
      </c>
      <c r="Z44" s="3">
        <f t="shared" si="15"/>
        <v>136.47969115582592</v>
      </c>
      <c r="AA44" s="3">
        <f t="shared" si="15"/>
        <v>162.33713145463432</v>
      </c>
      <c r="AB44" s="3">
        <f t="shared" si="15"/>
        <v>64.42782776349614</v>
      </c>
      <c r="AC44" s="3">
        <f t="shared" si="15"/>
        <v>71.6520697167756</v>
      </c>
      <c r="AD44" s="3">
        <f t="shared" si="15"/>
        <v>106.94745145631067</v>
      </c>
      <c r="AE44" s="3">
        <f t="shared" si="15"/>
        <v>131.93832978200294</v>
      </c>
      <c r="AF44" s="3">
        <f t="shared" si="15"/>
        <v>107.90825013865781</v>
      </c>
      <c r="AG44" s="3">
        <f t="shared" si="15"/>
        <v>174.52145302656805</v>
      </c>
      <c r="AH44" s="3">
        <f t="shared" si="15"/>
        <v>189.91700845277475</v>
      </c>
      <c r="AI44" s="3">
        <f t="shared" ref="AI44:BL44" si="16">AI43/AI12</f>
        <v>142.17792195491572</v>
      </c>
      <c r="AJ44" s="3">
        <f t="shared" si="16"/>
        <v>153.81438368860054</v>
      </c>
      <c r="AK44" s="3">
        <f t="shared" si="16"/>
        <v>172.66531895079933</v>
      </c>
      <c r="AL44" s="3">
        <f t="shared" si="16"/>
        <v>112.51066799601196</v>
      </c>
      <c r="AM44" s="3">
        <f t="shared" si="16"/>
        <v>136.10440492270749</v>
      </c>
      <c r="AN44" s="3">
        <f t="shared" si="16"/>
        <v>296.87236084452974</v>
      </c>
      <c r="AO44" s="3">
        <f t="shared" si="16"/>
        <v>167.83491032112553</v>
      </c>
      <c r="AP44" s="3">
        <f t="shared" si="16"/>
        <v>216.55874112454421</v>
      </c>
      <c r="AQ44" s="3">
        <f t="shared" si="16"/>
        <v>224.91618948464341</v>
      </c>
      <c r="AR44" s="3">
        <f t="shared" si="16"/>
        <v>192.87219999999999</v>
      </c>
      <c r="AS44" s="3">
        <f t="shared" si="16"/>
        <v>154.38968597726043</v>
      </c>
      <c r="AT44" s="3">
        <f t="shared" si="16"/>
        <v>156.72444444444443</v>
      </c>
      <c r="AU44" s="3">
        <f t="shared" si="16"/>
        <v>232.59140761004718</v>
      </c>
      <c r="AV44" s="3">
        <f t="shared" si="16"/>
        <v>161.55541749502981</v>
      </c>
      <c r="AW44" s="3">
        <f t="shared" si="16"/>
        <v>116.38057810334585</v>
      </c>
      <c r="AX44" s="3">
        <f t="shared" si="16"/>
        <v>129.94326923076923</v>
      </c>
      <c r="AY44" s="3">
        <f t="shared" si="16"/>
        <v>178.0010510948905</v>
      </c>
      <c r="AZ44" s="3">
        <f t="shared" si="16"/>
        <v>151.02610705596106</v>
      </c>
      <c r="BA44" s="3">
        <f t="shared" si="16"/>
        <v>167.08495504743024</v>
      </c>
      <c r="BB44" s="3">
        <f t="shared" si="16"/>
        <v>144.23171768707482</v>
      </c>
      <c r="BC44" s="3">
        <f t="shared" si="16"/>
        <v>198.52800535987751</v>
      </c>
      <c r="BD44" s="3">
        <f t="shared" si="16"/>
        <v>260.32176533619077</v>
      </c>
      <c r="BE44" s="3">
        <f t="shared" si="16"/>
        <v>287.37435227957423</v>
      </c>
      <c r="BF44" s="3">
        <f t="shared" si="16"/>
        <v>286.47181706499885</v>
      </c>
      <c r="BG44" s="3">
        <f t="shared" si="16"/>
        <v>220.45300505050506</v>
      </c>
      <c r="BH44" s="3">
        <f t="shared" ref="BH44" si="17">BH43/BH12</f>
        <v>199.42106261859578</v>
      </c>
      <c r="BI44" s="3">
        <f t="shared" si="16"/>
        <v>193.63261669571952</v>
      </c>
      <c r="BJ44" s="3">
        <f t="shared" si="16"/>
        <v>159.87680667078445</v>
      </c>
      <c r="BK44" s="3">
        <f t="shared" si="16"/>
        <v>247.53571917808222</v>
      </c>
      <c r="BL44" s="3">
        <f t="shared" si="16"/>
        <v>245.50012458471758</v>
      </c>
      <c r="BM44" s="3">
        <f t="shared" ref="BM44:BZ44" si="18">BM43/BM12</f>
        <v>157.23343852562485</v>
      </c>
      <c r="BN44" s="3">
        <f t="shared" si="18"/>
        <v>172.14006272949817</v>
      </c>
      <c r="BO44" s="3">
        <f t="shared" si="18"/>
        <v>171.76956836092833</v>
      </c>
      <c r="BP44" s="3">
        <f t="shared" si="18"/>
        <v>193.37604824813326</v>
      </c>
      <c r="BQ44" s="3">
        <f t="shared" si="18"/>
        <v>306.60117618230822</v>
      </c>
      <c r="BR44" s="3">
        <f t="shared" si="18"/>
        <v>253.70282792062267</v>
      </c>
      <c r="BS44" s="3">
        <f t="shared" si="18"/>
        <v>149.92162297378425</v>
      </c>
      <c r="BT44" s="3">
        <f t="shared" si="18"/>
        <v>111.04113993025284</v>
      </c>
      <c r="BU44" s="3">
        <f t="shared" si="18"/>
        <v>114.27216764898495</v>
      </c>
      <c r="BV44" s="3">
        <f t="shared" si="18"/>
        <v>160.34912527335209</v>
      </c>
      <c r="BW44" s="3">
        <f t="shared" si="18"/>
        <v>199.6216202128827</v>
      </c>
      <c r="BX44" s="3">
        <f t="shared" si="18"/>
        <v>112.41139479905438</v>
      </c>
      <c r="BY44" s="3">
        <f t="shared" si="18"/>
        <v>206.70151643990928</v>
      </c>
      <c r="BZ44" s="3">
        <f t="shared" si="18"/>
        <v>166.69287809456762</v>
      </c>
    </row>
    <row r="45" spans="1:80" s="19" customFormat="1" x14ac:dyDescent="0.2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</row>
    <row r="46" spans="1:80" s="19" customFormat="1" x14ac:dyDescent="0.2">
      <c r="B46" s="19" t="s">
        <v>184</v>
      </c>
      <c r="C46" s="13">
        <f>SUM(D46:BZ46)</f>
        <v>4491184.2792570218</v>
      </c>
      <c r="D46" s="13">
        <f>IF(D44-$C44&gt;0,(D44-$C44)*D12*$C40,(D44-$C44)*D12*$C41)</f>
        <v>2030559.0800417692</v>
      </c>
      <c r="E46" s="13">
        <f t="shared" ref="E46:BN46" si="19">IF(E44-$C44&gt;0,(E44-$C44)*E12*$C40,(E44-$C44)*E12*$C41)</f>
        <v>212556.22428038248</v>
      </c>
      <c r="F46" s="13">
        <f t="shared" si="19"/>
        <v>-14505.806467535042</v>
      </c>
      <c r="G46" s="13">
        <f t="shared" si="19"/>
        <v>-20585.56385773253</v>
      </c>
      <c r="H46" s="13">
        <f t="shared" si="19"/>
        <v>9068.1331098147657</v>
      </c>
      <c r="I46" s="13">
        <f t="shared" si="19"/>
        <v>529940.50425146404</v>
      </c>
      <c r="J46" s="13">
        <f t="shared" si="19"/>
        <v>-31764.206578017271</v>
      </c>
      <c r="K46" s="13">
        <f t="shared" si="19"/>
        <v>18715.043603895279</v>
      </c>
      <c r="L46" s="13">
        <f t="shared" si="19"/>
        <v>-20328.107655404248</v>
      </c>
      <c r="M46" s="13">
        <f t="shared" si="19"/>
        <v>-14074.822983267017</v>
      </c>
      <c r="N46" s="13">
        <f t="shared" si="19"/>
        <v>-29606.436639808224</v>
      </c>
      <c r="O46" s="13">
        <f t="shared" si="19"/>
        <v>-48240.00490496555</v>
      </c>
      <c r="P46" s="13">
        <f t="shared" si="19"/>
        <v>86945.384013445626</v>
      </c>
      <c r="Q46" s="13">
        <f t="shared" si="19"/>
        <v>-94327.666458390027</v>
      </c>
      <c r="R46" s="13">
        <f t="shared" si="19"/>
        <v>152914.24554165947</v>
      </c>
      <c r="S46" s="13">
        <f t="shared" si="19"/>
        <v>-15043.281561828058</v>
      </c>
      <c r="T46" s="13">
        <f t="shared" si="19"/>
        <v>-64820.450114931213</v>
      </c>
      <c r="U46" s="13">
        <f t="shared" si="19"/>
        <v>55677.944728984839</v>
      </c>
      <c r="V46" s="13">
        <f t="shared" si="19"/>
        <v>-71663.598241923944</v>
      </c>
      <c r="W46" s="13">
        <f t="shared" si="19"/>
        <v>-135293.72063521101</v>
      </c>
      <c r="X46" s="13">
        <f t="shared" si="19"/>
        <v>-143080.75273264296</v>
      </c>
      <c r="Y46" s="13">
        <f t="shared" si="19"/>
        <v>167326.35977804684</v>
      </c>
      <c r="Z46" s="13">
        <f t="shared" si="19"/>
        <v>-21900.605765342709</v>
      </c>
      <c r="AA46" s="13">
        <f t="shared" si="19"/>
        <v>-62333.031879680697</v>
      </c>
      <c r="AB46" s="13">
        <f t="shared" si="19"/>
        <v>-38368.886434662265</v>
      </c>
      <c r="AC46" s="13">
        <f t="shared" si="19"/>
        <v>-213102.85827133647</v>
      </c>
      <c r="AD46" s="13">
        <f t="shared" si="19"/>
        <v>-39934.523795941583</v>
      </c>
      <c r="AE46" s="13">
        <f t="shared" si="19"/>
        <v>-68066.215088608267</v>
      </c>
      <c r="AF46" s="13">
        <f t="shared" si="19"/>
        <v>-57561.073935341963</v>
      </c>
      <c r="AG46" s="13">
        <f t="shared" si="19"/>
        <v>-19276.85883412843</v>
      </c>
      <c r="AH46" s="13">
        <f t="shared" si="19"/>
        <v>17924.673077930842</v>
      </c>
      <c r="AI46" s="13">
        <f t="shared" si="19"/>
        <v>-48084.555622482032</v>
      </c>
      <c r="AJ46" s="13">
        <f t="shared" si="19"/>
        <v>-36585.416642032716</v>
      </c>
      <c r="AK46" s="13">
        <f t="shared" si="19"/>
        <v>-19400.962749697235</v>
      </c>
      <c r="AL46" s="13">
        <f t="shared" si="19"/>
        <v>-75436.128129711593</v>
      </c>
      <c r="AM46" s="13">
        <f t="shared" si="19"/>
        <v>-68784.493993672644</v>
      </c>
      <c r="AN46" s="13">
        <f t="shared" si="19"/>
        <v>102361.99180454283</v>
      </c>
      <c r="AO46" s="13">
        <f t="shared" si="19"/>
        <v>-37032.182784794561</v>
      </c>
      <c r="AP46" s="13">
        <f t="shared" si="19"/>
        <v>90163.566649694607</v>
      </c>
      <c r="AQ46" s="13">
        <f t="shared" si="19"/>
        <v>128612.95692231631</v>
      </c>
      <c r="AR46" s="13">
        <f t="shared" si="19"/>
        <v>9271.8636555524754</v>
      </c>
      <c r="AS46" s="13">
        <f t="shared" si="19"/>
        <v>-12312.648216466061</v>
      </c>
      <c r="AT46" s="13">
        <f t="shared" si="19"/>
        <v>-11437.789750611744</v>
      </c>
      <c r="AU46" s="13">
        <f t="shared" si="19"/>
        <v>108253.94819965868</v>
      </c>
      <c r="AV46" s="13">
        <f t="shared" si="19"/>
        <v>-15793.644974171402</v>
      </c>
      <c r="AW46" s="13">
        <f t="shared" si="19"/>
        <v>-72068.260515089394</v>
      </c>
      <c r="AX46" s="13">
        <f t="shared" si="19"/>
        <v>-64295.242006722889</v>
      </c>
      <c r="AY46" s="13">
        <f t="shared" si="19"/>
        <v>-13316.555551051733</v>
      </c>
      <c r="AZ46" s="13">
        <f t="shared" si="19"/>
        <v>-30163.337330631035</v>
      </c>
      <c r="BA46" s="13">
        <f t="shared" si="19"/>
        <v>-116602.83865814806</v>
      </c>
      <c r="BB46" s="13">
        <f t="shared" si="19"/>
        <v>-86944.102339899735</v>
      </c>
      <c r="BC46" s="13">
        <f t="shared" si="19"/>
        <v>16936.480782767736</v>
      </c>
      <c r="BD46" s="13">
        <f t="shared" si="19"/>
        <v>162610.8254487259</v>
      </c>
      <c r="BE46" s="13">
        <f t="shared" si="19"/>
        <v>297703.93276699865</v>
      </c>
      <c r="BF46" s="13">
        <f t="shared" si="19"/>
        <v>530528.00511060539</v>
      </c>
      <c r="BG46" s="13">
        <f t="shared" si="19"/>
        <v>38885.426412664652</v>
      </c>
      <c r="BH46" s="13">
        <f t="shared" ref="BH46" si="20">IF(BH44-$C44&gt;0,(BH44-$C44)*BH12*$C40,(BH44-$C44)*BH12*$C41)</f>
        <v>44394.092905904494</v>
      </c>
      <c r="BI46" s="13">
        <f t="shared" si="19"/>
        <v>18312.496191205762</v>
      </c>
      <c r="BJ46" s="13">
        <f t="shared" si="19"/>
        <v>-9016.0031090733883</v>
      </c>
      <c r="BK46" s="13">
        <f t="shared" si="19"/>
        <v>104795.09955807113</v>
      </c>
      <c r="BL46" s="13">
        <f t="shared" si="19"/>
        <v>333916.1653367604</v>
      </c>
      <c r="BM46" s="13">
        <f t="shared" si="19"/>
        <v>-24152.376624484063</v>
      </c>
      <c r="BN46" s="13">
        <f t="shared" si="19"/>
        <v>-20367.616411923209</v>
      </c>
      <c r="BO46" s="13">
        <f t="shared" ref="BO46:BZ46" si="21">IF(BO44-$C44&gt;0,(BO44-$C44)*BO12*$C40,(BO44-$C44)*BO12*$C41)</f>
        <v>-44125.305615561549</v>
      </c>
      <c r="BP46" s="13">
        <f t="shared" si="21"/>
        <v>35442.548528633779</v>
      </c>
      <c r="BQ46" s="13">
        <f t="shared" si="21"/>
        <v>291089.59627276979</v>
      </c>
      <c r="BR46" s="13">
        <f t="shared" si="21"/>
        <v>971553.59920363838</v>
      </c>
      <c r="BS46" s="13">
        <f t="shared" si="21"/>
        <v>-37776.86193702271</v>
      </c>
      <c r="BT46" s="13">
        <f t="shared" si="21"/>
        <v>-70361.590669813901</v>
      </c>
      <c r="BU46" s="13">
        <f t="shared" si="21"/>
        <v>-22431.323679774592</v>
      </c>
      <c r="BV46" s="13">
        <f t="shared" si="21"/>
        <v>-17523.579599841825</v>
      </c>
      <c r="BW46" s="13">
        <f t="shared" si="21"/>
        <v>130138.62200869998</v>
      </c>
      <c r="BX46" s="13">
        <f t="shared" si="21"/>
        <v>-31856.032640945163</v>
      </c>
      <c r="BY46" s="13">
        <f t="shared" si="21"/>
        <v>40177.608698929696</v>
      </c>
      <c r="BZ46" s="13">
        <f t="shared" si="21"/>
        <v>-35844.817238191834</v>
      </c>
    </row>
    <row r="47" spans="1:80" s="19" customFormat="1" x14ac:dyDescent="0.2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</row>
    <row r="48" spans="1:80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</row>
    <row r="49" spans="1:80" s="41" customFormat="1" ht="15.75" x14ac:dyDescent="0.25">
      <c r="A49" s="51" t="s">
        <v>99</v>
      </c>
      <c r="B49" s="51" t="s">
        <v>144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1"/>
      <c r="CB49" s="51"/>
    </row>
    <row r="50" spans="1:80" x14ac:dyDescent="0.2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</row>
    <row r="51" spans="1:80" x14ac:dyDescent="0.2">
      <c r="B51" t="s">
        <v>182</v>
      </c>
      <c r="C51" s="3">
        <f>SUM(D51:BZ51)</f>
        <v>9455885.3920856919</v>
      </c>
      <c r="D51" s="3">
        <f t="shared" ref="D51:BM51" si="22">D24</f>
        <v>6882947.9552448131</v>
      </c>
      <c r="E51" s="3">
        <f t="shared" si="22"/>
        <v>0</v>
      </c>
      <c r="F51" s="3">
        <f t="shared" si="22"/>
        <v>0</v>
      </c>
      <c r="G51" s="3">
        <f t="shared" si="22"/>
        <v>0</v>
      </c>
      <c r="H51" s="3">
        <f t="shared" si="22"/>
        <v>0</v>
      </c>
      <c r="I51" s="3">
        <f t="shared" si="22"/>
        <v>0</v>
      </c>
      <c r="J51" s="3">
        <f t="shared" si="22"/>
        <v>58569.879309253352</v>
      </c>
      <c r="K51" s="3">
        <f t="shared" si="22"/>
        <v>0</v>
      </c>
      <c r="L51" s="3">
        <f t="shared" si="22"/>
        <v>0</v>
      </c>
      <c r="M51" s="3">
        <f t="shared" si="22"/>
        <v>0</v>
      </c>
      <c r="N51" s="3">
        <f t="shared" si="22"/>
        <v>0</v>
      </c>
      <c r="O51" s="3">
        <f t="shared" si="22"/>
        <v>92586.245840499687</v>
      </c>
      <c r="P51" s="3">
        <f t="shared" si="22"/>
        <v>435175.27891503478</v>
      </c>
      <c r="Q51" s="3">
        <f t="shared" si="22"/>
        <v>0</v>
      </c>
      <c r="R51" s="3">
        <f t="shared" si="22"/>
        <v>0</v>
      </c>
      <c r="S51" s="3">
        <f t="shared" si="22"/>
        <v>368994.76531329169</v>
      </c>
      <c r="T51" s="3">
        <f t="shared" si="22"/>
        <v>0</v>
      </c>
      <c r="U51" s="3">
        <f t="shared" si="22"/>
        <v>0</v>
      </c>
      <c r="V51" s="3">
        <f t="shared" si="22"/>
        <v>0</v>
      </c>
      <c r="W51" s="3">
        <f t="shared" si="22"/>
        <v>0</v>
      </c>
      <c r="X51" s="3">
        <f t="shared" si="22"/>
        <v>171581.53950979083</v>
      </c>
      <c r="Y51" s="3">
        <f t="shared" si="22"/>
        <v>0</v>
      </c>
      <c r="Z51" s="3">
        <f t="shared" si="22"/>
        <v>0</v>
      </c>
      <c r="AA51" s="3">
        <f t="shared" si="22"/>
        <v>0</v>
      </c>
      <c r="AB51" s="3">
        <f t="shared" si="22"/>
        <v>0</v>
      </c>
      <c r="AC51" s="3">
        <f t="shared" si="22"/>
        <v>0</v>
      </c>
      <c r="AD51" s="3">
        <f t="shared" si="22"/>
        <v>0</v>
      </c>
      <c r="AE51" s="3">
        <f t="shared" si="22"/>
        <v>0</v>
      </c>
      <c r="AF51" s="3">
        <f t="shared" si="22"/>
        <v>0</v>
      </c>
      <c r="AG51" s="3">
        <f t="shared" si="22"/>
        <v>0</v>
      </c>
      <c r="AH51" s="3">
        <f t="shared" si="22"/>
        <v>0</v>
      </c>
      <c r="AI51" s="3">
        <f t="shared" si="22"/>
        <v>85632.463380839632</v>
      </c>
      <c r="AJ51" s="3">
        <f t="shared" si="22"/>
        <v>0</v>
      </c>
      <c r="AK51" s="3">
        <f t="shared" si="22"/>
        <v>0</v>
      </c>
      <c r="AL51" s="3">
        <f t="shared" si="22"/>
        <v>0</v>
      </c>
      <c r="AM51" s="3">
        <f t="shared" si="22"/>
        <v>0</v>
      </c>
      <c r="AN51" s="3">
        <f t="shared" si="22"/>
        <v>0</v>
      </c>
      <c r="AO51" s="3">
        <f t="shared" si="22"/>
        <v>0</v>
      </c>
      <c r="AP51" s="3">
        <f t="shared" si="22"/>
        <v>0</v>
      </c>
      <c r="AQ51" s="3">
        <f t="shared" si="22"/>
        <v>0</v>
      </c>
      <c r="AR51" s="3">
        <f t="shared" si="22"/>
        <v>0</v>
      </c>
      <c r="AS51" s="3">
        <f t="shared" si="22"/>
        <v>0</v>
      </c>
      <c r="AT51" s="3">
        <f t="shared" si="22"/>
        <v>0</v>
      </c>
      <c r="AU51" s="3">
        <f t="shared" si="22"/>
        <v>0</v>
      </c>
      <c r="AV51" s="3">
        <f t="shared" si="22"/>
        <v>0</v>
      </c>
      <c r="AW51" s="3">
        <f t="shared" si="22"/>
        <v>0</v>
      </c>
      <c r="AX51" s="3">
        <f t="shared" si="22"/>
        <v>0</v>
      </c>
      <c r="AY51" s="3">
        <f t="shared" si="22"/>
        <v>61901.829935357331</v>
      </c>
      <c r="AZ51" s="3">
        <f t="shared" si="22"/>
        <v>0</v>
      </c>
      <c r="BA51" s="3">
        <f t="shared" si="22"/>
        <v>354242.2939377685</v>
      </c>
      <c r="BB51" s="3">
        <f t="shared" si="22"/>
        <v>0</v>
      </c>
      <c r="BC51" s="3">
        <f t="shared" si="22"/>
        <v>0</v>
      </c>
      <c r="BD51" s="3">
        <f t="shared" si="22"/>
        <v>0</v>
      </c>
      <c r="BE51" s="3">
        <f t="shared" si="22"/>
        <v>30931.50733987509</v>
      </c>
      <c r="BF51" s="3">
        <f t="shared" si="22"/>
        <v>0</v>
      </c>
      <c r="BG51" s="3">
        <f t="shared" si="22"/>
        <v>0</v>
      </c>
      <c r="BH51" s="3">
        <f t="shared" ref="BH51" si="23">BH24</f>
        <v>0</v>
      </c>
      <c r="BI51" s="3">
        <f t="shared" si="22"/>
        <v>0</v>
      </c>
      <c r="BJ51" s="3">
        <f t="shared" si="22"/>
        <v>0</v>
      </c>
      <c r="BK51" s="3">
        <f t="shared" si="22"/>
        <v>0</v>
      </c>
      <c r="BL51" s="3">
        <f t="shared" si="22"/>
        <v>0</v>
      </c>
      <c r="BM51" s="3">
        <f t="shared" si="22"/>
        <v>0</v>
      </c>
      <c r="BN51" s="3">
        <f t="shared" ref="BN51:BZ51" si="24">BN24</f>
        <v>0</v>
      </c>
      <c r="BO51" s="3">
        <f t="shared" si="24"/>
        <v>0</v>
      </c>
      <c r="BP51" s="3">
        <f t="shared" si="24"/>
        <v>133442.57026638577</v>
      </c>
      <c r="BQ51" s="3">
        <f t="shared" si="24"/>
        <v>0</v>
      </c>
      <c r="BR51" s="3">
        <f t="shared" si="24"/>
        <v>678787.17149103712</v>
      </c>
      <c r="BS51" s="3">
        <f t="shared" si="24"/>
        <v>0</v>
      </c>
      <c r="BT51" s="3">
        <f t="shared" si="24"/>
        <v>0</v>
      </c>
      <c r="BU51" s="3">
        <f t="shared" si="24"/>
        <v>0</v>
      </c>
      <c r="BV51" s="3">
        <f t="shared" si="24"/>
        <v>0</v>
      </c>
      <c r="BW51" s="3">
        <f t="shared" si="24"/>
        <v>0</v>
      </c>
      <c r="BX51" s="3">
        <f t="shared" si="24"/>
        <v>0</v>
      </c>
      <c r="BY51" s="3">
        <f t="shared" si="24"/>
        <v>101091.89160174315</v>
      </c>
      <c r="BZ51" s="3">
        <f t="shared" si="24"/>
        <v>0</v>
      </c>
    </row>
    <row r="52" spans="1:80" x14ac:dyDescent="0.2">
      <c r="B52" t="s">
        <v>183</v>
      </c>
      <c r="C52" s="3">
        <f>SUM(D52:BZ52)</f>
        <v>8164921.8520233463</v>
      </c>
      <c r="D52" s="3">
        <f t="shared" ref="D52:BM52" si="25">D35</f>
        <v>7681779.3879539054</v>
      </c>
      <c r="E52" s="3">
        <f t="shared" si="25"/>
        <v>190862.27751690528</v>
      </c>
      <c r="F52" s="3">
        <f t="shared" si="25"/>
        <v>-30513.806563544851</v>
      </c>
      <c r="G52" s="3">
        <f t="shared" si="25"/>
        <v>-11072.39546168105</v>
      </c>
      <c r="H52" s="3">
        <f t="shared" si="25"/>
        <v>-93410.509283179344</v>
      </c>
      <c r="I52" s="3">
        <f t="shared" si="25"/>
        <v>-160897.52965729786</v>
      </c>
      <c r="J52" s="3">
        <f t="shared" si="25"/>
        <v>-50021.341799842936</v>
      </c>
      <c r="K52" s="3">
        <f t="shared" si="25"/>
        <v>-23682.697376010277</v>
      </c>
      <c r="L52" s="3">
        <f t="shared" si="25"/>
        <v>-60912.922890413276</v>
      </c>
      <c r="M52" s="3">
        <f t="shared" si="25"/>
        <v>-20055.617275087596</v>
      </c>
      <c r="N52" s="3">
        <f t="shared" si="25"/>
        <v>-58782.737405757391</v>
      </c>
      <c r="O52" s="3">
        <f t="shared" si="25"/>
        <v>248020.96208138164</v>
      </c>
      <c r="P52" s="3">
        <f t="shared" si="25"/>
        <v>233503.5079516625</v>
      </c>
      <c r="Q52" s="3">
        <f t="shared" si="25"/>
        <v>-90223.201216331043</v>
      </c>
      <c r="R52" s="3">
        <f t="shared" si="25"/>
        <v>-19242.210597056441</v>
      </c>
      <c r="S52" s="3">
        <f t="shared" si="25"/>
        <v>-28633.679982477941</v>
      </c>
      <c r="T52" s="3">
        <f t="shared" si="25"/>
        <v>189063.87195899765</v>
      </c>
      <c r="U52" s="3">
        <f t="shared" si="25"/>
        <v>-49643.590790616116</v>
      </c>
      <c r="V52" s="3">
        <f t="shared" si="25"/>
        <v>-80825.508279599249</v>
      </c>
      <c r="W52" s="3">
        <f t="shared" si="25"/>
        <v>-75432.121019569633</v>
      </c>
      <c r="X52" s="3">
        <f t="shared" si="25"/>
        <v>-180350.70970549859</v>
      </c>
      <c r="Y52" s="3">
        <f t="shared" si="25"/>
        <v>-48678.973812455886</v>
      </c>
      <c r="Z52" s="3">
        <f t="shared" si="25"/>
        <v>-31405.68321916393</v>
      </c>
      <c r="AA52" s="3">
        <f t="shared" si="25"/>
        <v>-121477.30023345567</v>
      </c>
      <c r="AB52" s="3">
        <f t="shared" si="25"/>
        <v>-17056.207446429136</v>
      </c>
      <c r="AC52" s="3">
        <f t="shared" si="25"/>
        <v>-268973.69425078377</v>
      </c>
      <c r="AD52" s="3">
        <f t="shared" si="25"/>
        <v>-76688.271855766594</v>
      </c>
      <c r="AE52" s="3">
        <f t="shared" si="25"/>
        <v>-82389.927217650504</v>
      </c>
      <c r="AF52" s="3">
        <f t="shared" si="25"/>
        <v>-65711.57358086342</v>
      </c>
      <c r="AG52" s="3">
        <f t="shared" si="25"/>
        <v>-123181.49787006786</v>
      </c>
      <c r="AH52" s="3">
        <f t="shared" si="25"/>
        <v>-79235.039077550449</v>
      </c>
      <c r="AI52" s="3">
        <f t="shared" si="25"/>
        <v>-1137.6683481358841</v>
      </c>
      <c r="AJ52" s="3">
        <f t="shared" si="25"/>
        <v>-56108.478461108745</v>
      </c>
      <c r="AK52" s="3">
        <f t="shared" si="25"/>
        <v>-48489.826309346361</v>
      </c>
      <c r="AL52" s="3">
        <f t="shared" si="25"/>
        <v>-58184.877470335567</v>
      </c>
      <c r="AM52" s="3">
        <f t="shared" si="25"/>
        <v>-114284.45204084663</v>
      </c>
      <c r="AN52" s="3">
        <f t="shared" si="25"/>
        <v>-10993.481901522331</v>
      </c>
      <c r="AO52" s="3">
        <f t="shared" si="25"/>
        <v>-105671.69048181346</v>
      </c>
      <c r="AP52" s="3">
        <f t="shared" si="25"/>
        <v>-63149.836212944894</v>
      </c>
      <c r="AQ52" s="3">
        <f t="shared" si="25"/>
        <v>-91839.260957436461</v>
      </c>
      <c r="AR52" s="3">
        <f t="shared" si="25"/>
        <v>-75167.36361136724</v>
      </c>
      <c r="AS52" s="3">
        <f t="shared" si="25"/>
        <v>-24028.79693673176</v>
      </c>
      <c r="AT52" s="3">
        <f t="shared" si="25"/>
        <v>3947.9864370274536</v>
      </c>
      <c r="AU52" s="3">
        <f t="shared" si="25"/>
        <v>-25507.966847102562</v>
      </c>
      <c r="AV52" s="3">
        <f t="shared" si="25"/>
        <v>-19350.06935303544</v>
      </c>
      <c r="AW52" s="3">
        <f t="shared" si="25"/>
        <v>150865.80313898413</v>
      </c>
      <c r="AX52" s="3">
        <f t="shared" si="25"/>
        <v>-87752.242591215778</v>
      </c>
      <c r="AY52" s="3">
        <f t="shared" si="25"/>
        <v>-80216.00991262187</v>
      </c>
      <c r="AZ52" s="3">
        <f t="shared" si="25"/>
        <v>67678.756957280682</v>
      </c>
      <c r="BA52" s="3">
        <f t="shared" si="25"/>
        <v>325705.94173165289</v>
      </c>
      <c r="BB52" s="3">
        <f t="shared" si="25"/>
        <v>-127428.29787307564</v>
      </c>
      <c r="BC52" s="3">
        <f t="shared" si="25"/>
        <v>-48906.530957630406</v>
      </c>
      <c r="BD52" s="3">
        <f t="shared" si="25"/>
        <v>-47792.912980411289</v>
      </c>
      <c r="BE52" s="3">
        <f t="shared" si="25"/>
        <v>50005.134039002558</v>
      </c>
      <c r="BF52" s="3">
        <f t="shared" si="25"/>
        <v>276464.97218381771</v>
      </c>
      <c r="BG52" s="3">
        <f t="shared" si="25"/>
        <v>-5603.1675835023725</v>
      </c>
      <c r="BH52" s="3">
        <f t="shared" ref="BH52" si="26">BH35</f>
        <v>-92762.490572762137</v>
      </c>
      <c r="BI52" s="3">
        <f t="shared" si="25"/>
        <v>-34153.550235163013</v>
      </c>
      <c r="BJ52" s="3">
        <f t="shared" si="25"/>
        <v>-35049.037542267848</v>
      </c>
      <c r="BK52" s="3">
        <f t="shared" si="25"/>
        <v>-66516.212981730787</v>
      </c>
      <c r="BL52" s="3">
        <f t="shared" si="25"/>
        <v>661569.3173753107</v>
      </c>
      <c r="BM52" s="3">
        <f t="shared" si="25"/>
        <v>-55574.690374875208</v>
      </c>
      <c r="BN52" s="3">
        <f t="shared" ref="BN52:BZ52" si="27">BN35</f>
        <v>-85065.812641298762</v>
      </c>
      <c r="BO52" s="3">
        <f t="shared" si="27"/>
        <v>-266806.9420562734</v>
      </c>
      <c r="BP52" s="3">
        <f t="shared" si="27"/>
        <v>608077.18375565764</v>
      </c>
      <c r="BQ52" s="3">
        <f t="shared" si="27"/>
        <v>-9427.0473193298967</v>
      </c>
      <c r="BR52" s="3">
        <f t="shared" si="27"/>
        <v>1559837.6749534362</v>
      </c>
      <c r="BS52" s="3">
        <f t="shared" si="27"/>
        <v>-82325.889728667375</v>
      </c>
      <c r="BT52" s="3">
        <f t="shared" si="27"/>
        <v>-74412.675709650954</v>
      </c>
      <c r="BU52" s="3">
        <f t="shared" si="27"/>
        <v>-8603.4204181859186</v>
      </c>
      <c r="BV52" s="3">
        <f t="shared" si="27"/>
        <v>-49810.11439332884</v>
      </c>
      <c r="BW52" s="3">
        <f t="shared" si="27"/>
        <v>-139291.87264692641</v>
      </c>
      <c r="BX52" s="3">
        <f t="shared" si="27"/>
        <v>-24799.894646013905</v>
      </c>
      <c r="BY52" s="3">
        <f t="shared" si="27"/>
        <v>-3199.0173669678657</v>
      </c>
      <c r="BZ52" s="3">
        <f t="shared" si="27"/>
        <v>-14550.578679894325</v>
      </c>
    </row>
    <row r="53" spans="1:80" x14ac:dyDescent="0.2">
      <c r="B53" t="s">
        <v>184</v>
      </c>
      <c r="C53" s="3">
        <f>SUM(D53:BZ53)</f>
        <v>4491184.2792570218</v>
      </c>
      <c r="D53" s="3">
        <f t="shared" ref="D53:BM53" si="28">D46</f>
        <v>2030559.0800417692</v>
      </c>
      <c r="E53" s="3">
        <f t="shared" si="28"/>
        <v>212556.22428038248</v>
      </c>
      <c r="F53" s="3">
        <f t="shared" si="28"/>
        <v>-14505.806467535042</v>
      </c>
      <c r="G53" s="3">
        <f t="shared" si="28"/>
        <v>-20585.56385773253</v>
      </c>
      <c r="H53" s="3">
        <f t="shared" si="28"/>
        <v>9068.1331098147657</v>
      </c>
      <c r="I53" s="3">
        <f t="shared" si="28"/>
        <v>529940.50425146404</v>
      </c>
      <c r="J53" s="3">
        <f t="shared" si="28"/>
        <v>-31764.206578017271</v>
      </c>
      <c r="K53" s="3">
        <f t="shared" si="28"/>
        <v>18715.043603895279</v>
      </c>
      <c r="L53" s="3">
        <f t="shared" si="28"/>
        <v>-20328.107655404248</v>
      </c>
      <c r="M53" s="3">
        <f t="shared" si="28"/>
        <v>-14074.822983267017</v>
      </c>
      <c r="N53" s="3">
        <f t="shared" si="28"/>
        <v>-29606.436639808224</v>
      </c>
      <c r="O53" s="3">
        <f t="shared" si="28"/>
        <v>-48240.00490496555</v>
      </c>
      <c r="P53" s="3">
        <f t="shared" si="28"/>
        <v>86945.384013445626</v>
      </c>
      <c r="Q53" s="3">
        <f t="shared" si="28"/>
        <v>-94327.666458390027</v>
      </c>
      <c r="R53" s="3">
        <f t="shared" si="28"/>
        <v>152914.24554165947</v>
      </c>
      <c r="S53" s="3">
        <f t="shared" si="28"/>
        <v>-15043.281561828058</v>
      </c>
      <c r="T53" s="3">
        <f t="shared" si="28"/>
        <v>-64820.450114931213</v>
      </c>
      <c r="U53" s="3">
        <f t="shared" si="28"/>
        <v>55677.944728984839</v>
      </c>
      <c r="V53" s="3">
        <f t="shared" si="28"/>
        <v>-71663.598241923944</v>
      </c>
      <c r="W53" s="3">
        <f t="shared" si="28"/>
        <v>-135293.72063521101</v>
      </c>
      <c r="X53" s="3">
        <f t="shared" si="28"/>
        <v>-143080.75273264296</v>
      </c>
      <c r="Y53" s="3">
        <f t="shared" si="28"/>
        <v>167326.35977804684</v>
      </c>
      <c r="Z53" s="3">
        <f t="shared" si="28"/>
        <v>-21900.605765342709</v>
      </c>
      <c r="AA53" s="3">
        <f t="shared" si="28"/>
        <v>-62333.031879680697</v>
      </c>
      <c r="AB53" s="3">
        <f t="shared" si="28"/>
        <v>-38368.886434662265</v>
      </c>
      <c r="AC53" s="3">
        <f t="shared" si="28"/>
        <v>-213102.85827133647</v>
      </c>
      <c r="AD53" s="3">
        <f t="shared" si="28"/>
        <v>-39934.523795941583</v>
      </c>
      <c r="AE53" s="3">
        <f t="shared" si="28"/>
        <v>-68066.215088608267</v>
      </c>
      <c r="AF53" s="3">
        <f t="shared" si="28"/>
        <v>-57561.073935341963</v>
      </c>
      <c r="AG53" s="3">
        <f t="shared" si="28"/>
        <v>-19276.85883412843</v>
      </c>
      <c r="AH53" s="3">
        <f t="shared" si="28"/>
        <v>17924.673077930842</v>
      </c>
      <c r="AI53" s="3">
        <f t="shared" si="28"/>
        <v>-48084.555622482032</v>
      </c>
      <c r="AJ53" s="3">
        <f t="shared" si="28"/>
        <v>-36585.416642032716</v>
      </c>
      <c r="AK53" s="3">
        <f t="shared" si="28"/>
        <v>-19400.962749697235</v>
      </c>
      <c r="AL53" s="3">
        <f t="shared" si="28"/>
        <v>-75436.128129711593</v>
      </c>
      <c r="AM53" s="3">
        <f t="shared" si="28"/>
        <v>-68784.493993672644</v>
      </c>
      <c r="AN53" s="3">
        <f t="shared" si="28"/>
        <v>102361.99180454283</v>
      </c>
      <c r="AO53" s="3">
        <f t="shared" si="28"/>
        <v>-37032.182784794561</v>
      </c>
      <c r="AP53" s="3">
        <f t="shared" si="28"/>
        <v>90163.566649694607</v>
      </c>
      <c r="AQ53" s="3">
        <f t="shared" si="28"/>
        <v>128612.95692231631</v>
      </c>
      <c r="AR53" s="3">
        <f t="shared" si="28"/>
        <v>9271.8636555524754</v>
      </c>
      <c r="AS53" s="3">
        <f t="shared" si="28"/>
        <v>-12312.648216466061</v>
      </c>
      <c r="AT53" s="3">
        <f t="shared" si="28"/>
        <v>-11437.789750611744</v>
      </c>
      <c r="AU53" s="3">
        <f t="shared" si="28"/>
        <v>108253.94819965868</v>
      </c>
      <c r="AV53" s="3">
        <f t="shared" si="28"/>
        <v>-15793.644974171402</v>
      </c>
      <c r="AW53" s="3">
        <f t="shared" si="28"/>
        <v>-72068.260515089394</v>
      </c>
      <c r="AX53" s="3">
        <f t="shared" si="28"/>
        <v>-64295.242006722889</v>
      </c>
      <c r="AY53" s="3">
        <f t="shared" si="28"/>
        <v>-13316.555551051733</v>
      </c>
      <c r="AZ53" s="3">
        <f t="shared" si="28"/>
        <v>-30163.337330631035</v>
      </c>
      <c r="BA53" s="3">
        <f t="shared" si="28"/>
        <v>-116602.83865814806</v>
      </c>
      <c r="BB53" s="3">
        <f t="shared" si="28"/>
        <v>-86944.102339899735</v>
      </c>
      <c r="BC53" s="3">
        <f t="shared" si="28"/>
        <v>16936.480782767736</v>
      </c>
      <c r="BD53" s="3">
        <f t="shared" si="28"/>
        <v>162610.8254487259</v>
      </c>
      <c r="BE53" s="3">
        <f t="shared" si="28"/>
        <v>297703.93276699865</v>
      </c>
      <c r="BF53" s="3">
        <f t="shared" si="28"/>
        <v>530528.00511060539</v>
      </c>
      <c r="BG53" s="3">
        <f t="shared" si="28"/>
        <v>38885.426412664652</v>
      </c>
      <c r="BH53" s="3">
        <f t="shared" ref="BH53" si="29">BH46</f>
        <v>44394.092905904494</v>
      </c>
      <c r="BI53" s="3">
        <f t="shared" si="28"/>
        <v>18312.496191205762</v>
      </c>
      <c r="BJ53" s="3">
        <f t="shared" si="28"/>
        <v>-9016.0031090733883</v>
      </c>
      <c r="BK53" s="3">
        <f t="shared" si="28"/>
        <v>104795.09955807113</v>
      </c>
      <c r="BL53" s="3">
        <f t="shared" si="28"/>
        <v>333916.1653367604</v>
      </c>
      <c r="BM53" s="3">
        <f t="shared" si="28"/>
        <v>-24152.376624484063</v>
      </c>
      <c r="BN53" s="3">
        <f t="shared" ref="BN53:BZ53" si="30">BN46</f>
        <v>-20367.616411923209</v>
      </c>
      <c r="BO53" s="3">
        <f t="shared" si="30"/>
        <v>-44125.305615561549</v>
      </c>
      <c r="BP53" s="3">
        <f t="shared" si="30"/>
        <v>35442.548528633779</v>
      </c>
      <c r="BQ53" s="3">
        <f t="shared" si="30"/>
        <v>291089.59627276979</v>
      </c>
      <c r="BR53" s="3">
        <f t="shared" si="30"/>
        <v>971553.59920363838</v>
      </c>
      <c r="BS53" s="3">
        <f t="shared" si="30"/>
        <v>-37776.86193702271</v>
      </c>
      <c r="BT53" s="3">
        <f t="shared" si="30"/>
        <v>-70361.590669813901</v>
      </c>
      <c r="BU53" s="3">
        <f t="shared" si="30"/>
        <v>-22431.323679774592</v>
      </c>
      <c r="BV53" s="3">
        <f t="shared" si="30"/>
        <v>-17523.579599841825</v>
      </c>
      <c r="BW53" s="3">
        <f t="shared" si="30"/>
        <v>130138.62200869998</v>
      </c>
      <c r="BX53" s="3">
        <f t="shared" si="30"/>
        <v>-31856.032640945163</v>
      </c>
      <c r="BY53" s="3">
        <f t="shared" si="30"/>
        <v>40177.608698929696</v>
      </c>
      <c r="BZ53" s="3">
        <f t="shared" si="30"/>
        <v>-35844.817238191834</v>
      </c>
    </row>
    <row r="54" spans="1:80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</row>
    <row r="55" spans="1:80" s="19" customFormat="1" x14ac:dyDescent="0.2">
      <c r="B55" s="90" t="s">
        <v>192</v>
      </c>
      <c r="C55" s="91">
        <f>SUM(D55:BZ55)</f>
        <v>26851900</v>
      </c>
      <c r="D55" s="91">
        <f>ROUND(IF((D51+D52+D53)&lt;0,0,(D51+D52+D53)),-2)</f>
        <v>16595300</v>
      </c>
      <c r="E55" s="91">
        <f t="shared" ref="E55:BN55" si="31">ROUND(IF((E51+E52+E53)&lt;0,0,(E51+E52+E53)),-2)</f>
        <v>403400</v>
      </c>
      <c r="F55" s="91">
        <f t="shared" si="31"/>
        <v>0</v>
      </c>
      <c r="G55" s="91">
        <f t="shared" si="31"/>
        <v>0</v>
      </c>
      <c r="H55" s="91">
        <f t="shared" si="31"/>
        <v>0</v>
      </c>
      <c r="I55" s="91">
        <f t="shared" si="31"/>
        <v>369000</v>
      </c>
      <c r="J55" s="91">
        <f t="shared" si="31"/>
        <v>0</v>
      </c>
      <c r="K55" s="91">
        <f t="shared" si="31"/>
        <v>0</v>
      </c>
      <c r="L55" s="91">
        <f t="shared" si="31"/>
        <v>0</v>
      </c>
      <c r="M55" s="91">
        <f t="shared" si="31"/>
        <v>0</v>
      </c>
      <c r="N55" s="91">
        <f t="shared" si="31"/>
        <v>0</v>
      </c>
      <c r="O55" s="91">
        <f t="shared" si="31"/>
        <v>292400</v>
      </c>
      <c r="P55" s="91">
        <f t="shared" si="31"/>
        <v>755600</v>
      </c>
      <c r="Q55" s="91">
        <f t="shared" si="31"/>
        <v>0</v>
      </c>
      <c r="R55" s="91">
        <f t="shared" si="31"/>
        <v>133700</v>
      </c>
      <c r="S55" s="91">
        <f t="shared" si="31"/>
        <v>325300</v>
      </c>
      <c r="T55" s="91">
        <f t="shared" si="31"/>
        <v>124200</v>
      </c>
      <c r="U55" s="91">
        <f t="shared" si="31"/>
        <v>6000</v>
      </c>
      <c r="V55" s="91">
        <f t="shared" si="31"/>
        <v>0</v>
      </c>
      <c r="W55" s="91">
        <f t="shared" si="31"/>
        <v>0</v>
      </c>
      <c r="X55" s="91">
        <f t="shared" si="31"/>
        <v>0</v>
      </c>
      <c r="Y55" s="91">
        <f t="shared" si="31"/>
        <v>118600</v>
      </c>
      <c r="Z55" s="91">
        <f t="shared" si="31"/>
        <v>0</v>
      </c>
      <c r="AA55" s="91">
        <f t="shared" si="31"/>
        <v>0</v>
      </c>
      <c r="AB55" s="91">
        <f t="shared" si="31"/>
        <v>0</v>
      </c>
      <c r="AC55" s="91">
        <f t="shared" si="31"/>
        <v>0</v>
      </c>
      <c r="AD55" s="91">
        <f t="shared" si="31"/>
        <v>0</v>
      </c>
      <c r="AE55" s="91">
        <f t="shared" si="31"/>
        <v>0</v>
      </c>
      <c r="AF55" s="91">
        <f t="shared" si="31"/>
        <v>0</v>
      </c>
      <c r="AG55" s="91">
        <f t="shared" si="31"/>
        <v>0</v>
      </c>
      <c r="AH55" s="91">
        <f t="shared" si="31"/>
        <v>0</v>
      </c>
      <c r="AI55" s="91">
        <f t="shared" si="31"/>
        <v>36400</v>
      </c>
      <c r="AJ55" s="91">
        <f t="shared" si="31"/>
        <v>0</v>
      </c>
      <c r="AK55" s="91">
        <f t="shared" si="31"/>
        <v>0</v>
      </c>
      <c r="AL55" s="91">
        <f t="shared" si="31"/>
        <v>0</v>
      </c>
      <c r="AM55" s="91">
        <f t="shared" si="31"/>
        <v>0</v>
      </c>
      <c r="AN55" s="91">
        <f t="shared" si="31"/>
        <v>91400</v>
      </c>
      <c r="AO55" s="91">
        <f t="shared" si="31"/>
        <v>0</v>
      </c>
      <c r="AP55" s="91">
        <f t="shared" si="31"/>
        <v>27000</v>
      </c>
      <c r="AQ55" s="91">
        <f t="shared" si="31"/>
        <v>36800</v>
      </c>
      <c r="AR55" s="91">
        <f t="shared" si="31"/>
        <v>0</v>
      </c>
      <c r="AS55" s="91">
        <f t="shared" si="31"/>
        <v>0</v>
      </c>
      <c r="AT55" s="91">
        <f t="shared" si="31"/>
        <v>0</v>
      </c>
      <c r="AU55" s="91">
        <f t="shared" si="31"/>
        <v>82700</v>
      </c>
      <c r="AV55" s="91">
        <f t="shared" si="31"/>
        <v>0</v>
      </c>
      <c r="AW55" s="91">
        <f t="shared" si="31"/>
        <v>78800</v>
      </c>
      <c r="AX55" s="91">
        <f t="shared" si="31"/>
        <v>0</v>
      </c>
      <c r="AY55" s="91">
        <f t="shared" si="31"/>
        <v>0</v>
      </c>
      <c r="AZ55" s="91">
        <f t="shared" si="31"/>
        <v>37500</v>
      </c>
      <c r="BA55" s="91">
        <f t="shared" si="31"/>
        <v>563300</v>
      </c>
      <c r="BB55" s="91">
        <f t="shared" si="31"/>
        <v>0</v>
      </c>
      <c r="BC55" s="91">
        <f t="shared" si="31"/>
        <v>0</v>
      </c>
      <c r="BD55" s="91">
        <f t="shared" si="31"/>
        <v>114800</v>
      </c>
      <c r="BE55" s="91">
        <f t="shared" si="31"/>
        <v>378600</v>
      </c>
      <c r="BF55" s="91">
        <f t="shared" si="31"/>
        <v>807000</v>
      </c>
      <c r="BG55" s="91">
        <f t="shared" si="31"/>
        <v>33300</v>
      </c>
      <c r="BH55" s="91">
        <f t="shared" ref="BH55" si="32">ROUND(IF((BH51+BH52+BH53)&lt;0,0,(BH51+BH52+BH53)),-2)</f>
        <v>0</v>
      </c>
      <c r="BI55" s="91">
        <f t="shared" si="31"/>
        <v>0</v>
      </c>
      <c r="BJ55" s="91">
        <f t="shared" si="31"/>
        <v>0</v>
      </c>
      <c r="BK55" s="91">
        <f t="shared" si="31"/>
        <v>38300</v>
      </c>
      <c r="BL55" s="91">
        <f t="shared" si="31"/>
        <v>995500</v>
      </c>
      <c r="BM55" s="91">
        <f t="shared" si="31"/>
        <v>0</v>
      </c>
      <c r="BN55" s="91">
        <f t="shared" si="31"/>
        <v>0</v>
      </c>
      <c r="BO55" s="91">
        <f t="shared" ref="BO55:BZ55" si="33">ROUND(IF((BO51+BO52+BO53)&lt;0,0,(BO51+BO52+BO53)),-2)</f>
        <v>0</v>
      </c>
      <c r="BP55" s="91">
        <f t="shared" si="33"/>
        <v>777000</v>
      </c>
      <c r="BQ55" s="91">
        <f t="shared" si="33"/>
        <v>281700</v>
      </c>
      <c r="BR55" s="91">
        <f t="shared" si="33"/>
        <v>3210200</v>
      </c>
      <c r="BS55" s="91">
        <f t="shared" si="33"/>
        <v>0</v>
      </c>
      <c r="BT55" s="91">
        <f t="shared" si="33"/>
        <v>0</v>
      </c>
      <c r="BU55" s="91">
        <f t="shared" si="33"/>
        <v>0</v>
      </c>
      <c r="BV55" s="91">
        <f t="shared" si="33"/>
        <v>0</v>
      </c>
      <c r="BW55" s="91">
        <f t="shared" si="33"/>
        <v>0</v>
      </c>
      <c r="BX55" s="91">
        <f t="shared" si="33"/>
        <v>0</v>
      </c>
      <c r="BY55" s="91">
        <f t="shared" si="33"/>
        <v>138100</v>
      </c>
      <c r="BZ55" s="91">
        <f t="shared" si="33"/>
        <v>0</v>
      </c>
    </row>
    <row r="56" spans="1:80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</row>
    <row r="57" spans="1:80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80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80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80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80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80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</row>
    <row r="65" spans="3:78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3:78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3:78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3:78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3:78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3:78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3:78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3:78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3:78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3:78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3:78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3:78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3:78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3:78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3:78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3:78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37"/>
  <sheetViews>
    <sheetView zoomScale="90" zoomScaleNormal="90" workbookViewId="0">
      <pane xSplit="2" ySplit="9" topLeftCell="C10" activePane="bottomRight" state="frozen"/>
      <selection activeCell="B7" sqref="B7:E7"/>
      <selection pane="topRight" activeCell="B7" sqref="B7:E7"/>
      <selection pane="bottomLeft" activeCell="B7" sqref="B7:E7"/>
      <selection pane="bottomRight" activeCell="B7" sqref="B7:E7"/>
    </sheetView>
  </sheetViews>
  <sheetFormatPr baseColWidth="10" defaultRowHeight="12.75" x14ac:dyDescent="0.2"/>
  <cols>
    <col min="1" max="1" width="4" customWidth="1"/>
    <col min="2" max="2" width="54" bestFit="1" customWidth="1"/>
    <col min="3" max="3" width="21" customWidth="1"/>
    <col min="4" max="4" width="20.5703125" bestFit="1" customWidth="1"/>
  </cols>
  <sheetData>
    <row r="1" spans="1:5" x14ac:dyDescent="0.2">
      <c r="A1" s="19" t="s">
        <v>194</v>
      </c>
    </row>
    <row r="2" spans="1:5" x14ac:dyDescent="0.2">
      <c r="A2" t="s">
        <v>195</v>
      </c>
    </row>
    <row r="5" spans="1:5" ht="26.25" x14ac:dyDescent="0.4">
      <c r="A5" s="16" t="s">
        <v>239</v>
      </c>
      <c r="E5" s="93"/>
    </row>
    <row r="6" spans="1:5" x14ac:dyDescent="0.2">
      <c r="C6" s="17"/>
    </row>
    <row r="7" spans="1:5" x14ac:dyDescent="0.2">
      <c r="B7" s="18" t="s">
        <v>105</v>
      </c>
      <c r="C7" s="17"/>
    </row>
    <row r="8" spans="1:5" s="19" customFormat="1" x14ac:dyDescent="0.2">
      <c r="C8" s="19" t="s">
        <v>5</v>
      </c>
    </row>
    <row r="10" spans="1:5" s="40" customFormat="1" ht="15.75" x14ac:dyDescent="0.25">
      <c r="A10" s="20" t="s">
        <v>97</v>
      </c>
      <c r="B10" s="21" t="s">
        <v>112</v>
      </c>
      <c r="C10" s="5"/>
    </row>
    <row r="11" spans="1:5" x14ac:dyDescent="0.2">
      <c r="B11" s="22"/>
    </row>
    <row r="12" spans="1:5" x14ac:dyDescent="0.2">
      <c r="B12" s="26" t="s">
        <v>113</v>
      </c>
      <c r="C12" s="3">
        <v>10000000</v>
      </c>
    </row>
    <row r="13" spans="1:5" s="19" customFormat="1" x14ac:dyDescent="0.2">
      <c r="A13"/>
      <c r="B13" t="s">
        <v>114</v>
      </c>
      <c r="C13" s="3">
        <v>6000000</v>
      </c>
    </row>
    <row r="14" spans="1:5" x14ac:dyDescent="0.2">
      <c r="C14" s="3"/>
    </row>
    <row r="15" spans="1:5" x14ac:dyDescent="0.2">
      <c r="B15" t="s">
        <v>116</v>
      </c>
      <c r="C15" s="3">
        <v>101.7</v>
      </c>
      <c r="D15" t="s">
        <v>115</v>
      </c>
    </row>
    <row r="16" spans="1:5" x14ac:dyDescent="0.2">
      <c r="B16" t="s">
        <v>240</v>
      </c>
      <c r="C16" s="10">
        <v>108.7</v>
      </c>
    </row>
    <row r="17" spans="2:3" x14ac:dyDescent="0.2">
      <c r="C17" s="3"/>
    </row>
    <row r="18" spans="2:3" x14ac:dyDescent="0.2">
      <c r="B18" s="90" t="s">
        <v>193</v>
      </c>
      <c r="C18" s="91">
        <f>ROUND((C12+C13)/C15*C16,-2)</f>
        <v>17101300</v>
      </c>
    </row>
    <row r="19" spans="2:3" x14ac:dyDescent="0.2">
      <c r="C19" s="3"/>
    </row>
    <row r="20" spans="2:3" x14ac:dyDescent="0.2">
      <c r="C20" s="3"/>
    </row>
    <row r="21" spans="2:3" x14ac:dyDescent="0.2">
      <c r="C21" s="3"/>
    </row>
    <row r="22" spans="2:3" x14ac:dyDescent="0.2">
      <c r="C22" s="3"/>
    </row>
    <row r="23" spans="2:3" x14ac:dyDescent="0.2">
      <c r="C23" s="3"/>
    </row>
    <row r="24" spans="2:3" x14ac:dyDescent="0.2">
      <c r="C24" s="3"/>
    </row>
    <row r="25" spans="2:3" x14ac:dyDescent="0.2">
      <c r="C25" s="3"/>
    </row>
    <row r="26" spans="2:3" x14ac:dyDescent="0.2">
      <c r="C26" s="3"/>
    </row>
    <row r="27" spans="2:3" x14ac:dyDescent="0.2">
      <c r="C27" s="3"/>
    </row>
    <row r="28" spans="2:3" x14ac:dyDescent="0.2">
      <c r="C28" s="3"/>
    </row>
    <row r="29" spans="2:3" x14ac:dyDescent="0.2">
      <c r="C29" s="3"/>
    </row>
    <row r="30" spans="2:3" x14ac:dyDescent="0.2">
      <c r="C30" s="3"/>
    </row>
    <row r="31" spans="2:3" x14ac:dyDescent="0.2">
      <c r="C31" s="3"/>
    </row>
    <row r="32" spans="2:3" x14ac:dyDescent="0.2">
      <c r="C32" s="3"/>
    </row>
    <row r="33" spans="3:3" x14ac:dyDescent="0.2">
      <c r="C33" s="3"/>
    </row>
    <row r="34" spans="3:3" x14ac:dyDescent="0.2">
      <c r="C34" s="3"/>
    </row>
    <row r="35" spans="3:3" x14ac:dyDescent="0.2">
      <c r="C35" s="3"/>
    </row>
    <row r="36" spans="3:3" x14ac:dyDescent="0.2">
      <c r="C36" s="3"/>
    </row>
    <row r="37" spans="3:3" x14ac:dyDescent="0.2">
      <c r="C37" s="3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J84"/>
  <sheetViews>
    <sheetView zoomScaleNormal="100" workbookViewId="0">
      <selection activeCell="B7" sqref="B7:E7"/>
    </sheetView>
  </sheetViews>
  <sheetFormatPr baseColWidth="10" defaultRowHeight="12.75" x14ac:dyDescent="0.2"/>
  <cols>
    <col min="1" max="1" width="4" customWidth="1"/>
    <col min="2" max="2" width="20.5703125" bestFit="1" customWidth="1"/>
    <col min="3" max="8" width="17.140625" customWidth="1"/>
    <col min="9" max="18" width="21" customWidth="1"/>
    <col min="19" max="19" width="22.7109375" bestFit="1" customWidth="1"/>
    <col min="20" max="36" width="21" customWidth="1"/>
  </cols>
  <sheetData>
    <row r="1" spans="1:36" x14ac:dyDescent="0.2">
      <c r="A1" s="19" t="s">
        <v>194</v>
      </c>
    </row>
    <row r="2" spans="1:36" x14ac:dyDescent="0.2">
      <c r="A2" t="s">
        <v>195</v>
      </c>
    </row>
    <row r="5" spans="1:36" ht="26.25" x14ac:dyDescent="0.4">
      <c r="A5" s="16" t="s">
        <v>241</v>
      </c>
    </row>
    <row r="6" spans="1:36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38.25" customHeight="1" x14ac:dyDescent="0.2">
      <c r="A7" s="74" t="s">
        <v>212</v>
      </c>
      <c r="B7" s="80" t="s">
        <v>213</v>
      </c>
      <c r="C7" s="75" t="s">
        <v>207</v>
      </c>
      <c r="D7" s="76" t="s">
        <v>208</v>
      </c>
      <c r="E7" s="119" t="s">
        <v>210</v>
      </c>
      <c r="F7" s="75" t="s">
        <v>209</v>
      </c>
      <c r="G7" s="76" t="s">
        <v>211</v>
      </c>
      <c r="H7" s="76" t="s">
        <v>79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H7" s="3"/>
      <c r="AI7" s="3"/>
      <c r="AJ7" s="3"/>
    </row>
    <row r="8" spans="1:36" x14ac:dyDescent="0.2">
      <c r="A8" s="68">
        <v>1</v>
      </c>
      <c r="B8" s="84" t="s">
        <v>5</v>
      </c>
      <c r="C8" s="83">
        <f>HLOOKUP(B8,'Ressourcenausgleich Basis'!$C$8:$BZ$151,144,FALSE)</f>
        <v>0</v>
      </c>
      <c r="D8" s="116">
        <f>HLOOKUP(B8,'SL Weite Basis'!$C$8:$BZ$74,67,FALSE)</f>
        <v>0</v>
      </c>
      <c r="E8" s="87">
        <f>HLOOKUP(B8,'SL Schule Basis'!$C$8:$BZ$64,57,FALSE)</f>
        <v>0</v>
      </c>
      <c r="F8" s="83">
        <f>HLOOKUP(B8,'SL Sozio Basis'!$C$8:$BZ$55,48,FALSE)</f>
        <v>16595300</v>
      </c>
      <c r="G8" s="87">
        <f>'SL Stadt SG Basis'!C18</f>
        <v>17101300</v>
      </c>
      <c r="H8" s="82">
        <f t="shared" ref="H8:H39" si="0">SUM(C8:G8)</f>
        <v>33696600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">
      <c r="A9" s="69">
        <v>2</v>
      </c>
      <c r="B9" s="85" t="s">
        <v>6</v>
      </c>
      <c r="C9" s="35">
        <f>HLOOKUP(B9,'Ressourcenausgleich Basis'!$C$8:$BZ$151,144,FALSE)</f>
        <v>5060500</v>
      </c>
      <c r="D9" s="117">
        <f>HLOOKUP(B9,'SL Weite Basis'!$C$8:$BZ$74,67,FALSE)</f>
        <v>0</v>
      </c>
      <c r="E9" s="77">
        <f>HLOOKUP(B9,'SL Schule Basis'!$C$8:$BZ$64,57,FALSE)</f>
        <v>360400</v>
      </c>
      <c r="F9" s="35">
        <f>HLOOKUP(B9,'SL Sozio Basis'!$C$8:$BZ$55,48,FALSE)</f>
        <v>403400</v>
      </c>
      <c r="G9" s="77">
        <v>0</v>
      </c>
      <c r="H9" s="88">
        <f t="shared" si="0"/>
        <v>5824300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">
      <c r="A10" s="69">
        <v>3</v>
      </c>
      <c r="B10" s="85" t="s">
        <v>7</v>
      </c>
      <c r="C10" s="35">
        <f>HLOOKUP(B10,'Ressourcenausgleich Basis'!$C$8:$BZ$151,144,FALSE)</f>
        <v>613200</v>
      </c>
      <c r="D10" s="117">
        <f>HLOOKUP(B10,'SL Weite Basis'!$C$8:$BZ$74,67,FALSE)</f>
        <v>398800</v>
      </c>
      <c r="E10" s="77">
        <f>HLOOKUP(B10,'SL Schule Basis'!$C$8:$BZ$64,57,FALSE)</f>
        <v>517400</v>
      </c>
      <c r="F10" s="35">
        <f>HLOOKUP(B10,'SL Sozio Basis'!$C$8:$BZ$55,48,FALSE)</f>
        <v>0</v>
      </c>
      <c r="G10" s="77">
        <v>0</v>
      </c>
      <c r="H10" s="88">
        <f t="shared" si="0"/>
        <v>1529400</v>
      </c>
      <c r="J10" s="3"/>
    </row>
    <row r="11" spans="1:36" x14ac:dyDescent="0.2">
      <c r="A11" s="69">
        <v>4</v>
      </c>
      <c r="B11" s="85" t="s">
        <v>8</v>
      </c>
      <c r="C11" s="35">
        <f>HLOOKUP(B11,'Ressourcenausgleich Basis'!$C$8:$BZ$151,144,FALSE)</f>
        <v>973100</v>
      </c>
      <c r="D11" s="117">
        <f>HLOOKUP(B11,'SL Weite Basis'!$C$8:$BZ$74,67,FALSE)</f>
        <v>626100</v>
      </c>
      <c r="E11" s="77">
        <f>HLOOKUP(B11,'SL Schule Basis'!$C$8:$BZ$64,57,FALSE)</f>
        <v>253100</v>
      </c>
      <c r="F11" s="35">
        <f>HLOOKUP(B11,'SL Sozio Basis'!$C$8:$BZ$55,48,FALSE)</f>
        <v>0</v>
      </c>
      <c r="G11" s="77">
        <v>0</v>
      </c>
      <c r="H11" s="88">
        <f t="shared" si="0"/>
        <v>1852300</v>
      </c>
      <c r="J11" s="3"/>
    </row>
    <row r="12" spans="1:36" x14ac:dyDescent="0.2">
      <c r="A12" s="69">
        <v>5</v>
      </c>
      <c r="B12" s="85" t="s">
        <v>9</v>
      </c>
      <c r="C12" s="35">
        <f>HLOOKUP(B12,'Ressourcenausgleich Basis'!$C$8:$BZ$151,144,FALSE)</f>
        <v>0</v>
      </c>
      <c r="D12" s="117">
        <f>HLOOKUP(B12,'SL Weite Basis'!$C$8:$BZ$74,67,FALSE)</f>
        <v>0</v>
      </c>
      <c r="E12" s="77">
        <f>HLOOKUP(B12,'SL Schule Basis'!$C$8:$BZ$64,57,FALSE)</f>
        <v>0</v>
      </c>
      <c r="F12" s="35">
        <f>HLOOKUP(B12,'SL Sozio Basis'!$C$8:$BZ$55,48,FALSE)</f>
        <v>0</v>
      </c>
      <c r="G12" s="77">
        <v>0</v>
      </c>
      <c r="H12" s="88">
        <f t="shared" si="0"/>
        <v>0</v>
      </c>
      <c r="J12" s="3"/>
    </row>
    <row r="13" spans="1:36" x14ac:dyDescent="0.2">
      <c r="A13" s="69">
        <v>6</v>
      </c>
      <c r="B13" s="85" t="s">
        <v>10</v>
      </c>
      <c r="C13" s="35">
        <f>HLOOKUP(B13,'Ressourcenausgleich Basis'!$C$8:$BZ$151,144,FALSE)</f>
        <v>0</v>
      </c>
      <c r="D13" s="117">
        <f>HLOOKUP(B13,'SL Weite Basis'!$C$8:$BZ$74,67,FALSE)</f>
        <v>0</v>
      </c>
      <c r="E13" s="77">
        <f>HLOOKUP(B13,'SL Schule Basis'!$C$8:$BZ$64,57,FALSE)</f>
        <v>0</v>
      </c>
      <c r="F13" s="35">
        <f>HLOOKUP(B13,'SL Sozio Basis'!$C$8:$BZ$55,48,FALSE)</f>
        <v>369000</v>
      </c>
      <c r="G13" s="77">
        <v>0</v>
      </c>
      <c r="H13" s="88">
        <f t="shared" si="0"/>
        <v>369000</v>
      </c>
      <c r="J13" s="3"/>
    </row>
    <row r="14" spans="1:36" x14ac:dyDescent="0.2">
      <c r="A14" s="69">
        <v>7</v>
      </c>
      <c r="B14" s="85" t="s">
        <v>11</v>
      </c>
      <c r="C14" s="35">
        <f>HLOOKUP(B14,'Ressourcenausgleich Basis'!$C$8:$BZ$151,144,FALSE)</f>
        <v>0</v>
      </c>
      <c r="D14" s="117">
        <f>HLOOKUP(B14,'SL Weite Basis'!$C$8:$BZ$74,67,FALSE)</f>
        <v>0</v>
      </c>
      <c r="E14" s="77">
        <f>HLOOKUP(B14,'SL Schule Basis'!$C$8:$BZ$64,57,FALSE)</f>
        <v>0</v>
      </c>
      <c r="F14" s="35">
        <f>HLOOKUP(B14,'SL Sozio Basis'!$C$8:$BZ$55,48,FALSE)</f>
        <v>0</v>
      </c>
      <c r="G14" s="77">
        <v>0</v>
      </c>
      <c r="H14" s="88">
        <f t="shared" si="0"/>
        <v>0</v>
      </c>
      <c r="J14" s="3"/>
    </row>
    <row r="15" spans="1:36" x14ac:dyDescent="0.2">
      <c r="A15" s="69">
        <v>8</v>
      </c>
      <c r="B15" s="85" t="s">
        <v>12</v>
      </c>
      <c r="C15" s="35">
        <f>HLOOKUP(B15,'Ressourcenausgleich Basis'!$C$8:$BZ$151,144,FALSE)</f>
        <v>0</v>
      </c>
      <c r="D15" s="117">
        <f>HLOOKUP(B15,'SL Weite Basis'!$C$8:$BZ$74,67,FALSE)</f>
        <v>15400</v>
      </c>
      <c r="E15" s="77">
        <f>HLOOKUP(B15,'SL Schule Basis'!$C$8:$BZ$64,57,FALSE)</f>
        <v>0</v>
      </c>
      <c r="F15" s="35">
        <f>HLOOKUP(B15,'SL Sozio Basis'!$C$8:$BZ$55,48,FALSE)</f>
        <v>0</v>
      </c>
      <c r="G15" s="77">
        <v>0</v>
      </c>
      <c r="H15" s="88">
        <f t="shared" si="0"/>
        <v>15400</v>
      </c>
      <c r="J15" s="3"/>
    </row>
    <row r="16" spans="1:36" x14ac:dyDescent="0.2">
      <c r="A16" s="69">
        <v>9</v>
      </c>
      <c r="B16" s="85" t="s">
        <v>13</v>
      </c>
      <c r="C16" s="35">
        <f>HLOOKUP(B16,'Ressourcenausgleich Basis'!$C$8:$BZ$151,144,FALSE)</f>
        <v>0</v>
      </c>
      <c r="D16" s="117">
        <f>HLOOKUP(B16,'SL Weite Basis'!$C$8:$BZ$74,67,FALSE)</f>
        <v>0</v>
      </c>
      <c r="E16" s="77">
        <f>HLOOKUP(B16,'SL Schule Basis'!$C$8:$BZ$64,57,FALSE)</f>
        <v>0</v>
      </c>
      <c r="F16" s="35">
        <f>HLOOKUP(B16,'SL Sozio Basis'!$C$8:$BZ$55,48,FALSE)</f>
        <v>0</v>
      </c>
      <c r="G16" s="77">
        <v>0</v>
      </c>
      <c r="H16" s="88">
        <f t="shared" si="0"/>
        <v>0</v>
      </c>
      <c r="J16" s="3"/>
    </row>
    <row r="17" spans="1:10" x14ac:dyDescent="0.2">
      <c r="A17" s="69">
        <v>10</v>
      </c>
      <c r="B17" s="85" t="s">
        <v>14</v>
      </c>
      <c r="C17" s="35">
        <f>HLOOKUP(B17,'Ressourcenausgleich Basis'!$C$8:$BZ$151,144,FALSE)</f>
        <v>251700</v>
      </c>
      <c r="D17" s="117">
        <f>HLOOKUP(B17,'SL Weite Basis'!$C$8:$BZ$74,67,FALSE)</f>
        <v>298600</v>
      </c>
      <c r="E17" s="77">
        <f>HLOOKUP(B17,'SL Schule Basis'!$C$8:$BZ$64,57,FALSE)</f>
        <v>237800</v>
      </c>
      <c r="F17" s="35">
        <f>HLOOKUP(B17,'SL Sozio Basis'!$C$8:$BZ$55,48,FALSE)</f>
        <v>0</v>
      </c>
      <c r="G17" s="77">
        <v>0</v>
      </c>
      <c r="H17" s="88">
        <f t="shared" si="0"/>
        <v>788100</v>
      </c>
      <c r="J17" s="3"/>
    </row>
    <row r="18" spans="1:10" x14ac:dyDescent="0.2">
      <c r="A18" s="69">
        <v>11</v>
      </c>
      <c r="B18" s="85" t="s">
        <v>15</v>
      </c>
      <c r="C18" s="35">
        <f>HLOOKUP(B18,'Ressourcenausgleich Basis'!$C$8:$BZ$151,144,FALSE)</f>
        <v>786000</v>
      </c>
      <c r="D18" s="117">
        <f>HLOOKUP(B18,'SL Weite Basis'!$C$8:$BZ$74,67,FALSE)</f>
        <v>636700</v>
      </c>
      <c r="E18" s="77">
        <f>HLOOKUP(B18,'SL Schule Basis'!$C$8:$BZ$64,57,FALSE)</f>
        <v>605600</v>
      </c>
      <c r="F18" s="35">
        <f>HLOOKUP(B18,'SL Sozio Basis'!$C$8:$BZ$55,48,FALSE)</f>
        <v>0</v>
      </c>
      <c r="G18" s="77">
        <v>0</v>
      </c>
      <c r="H18" s="88">
        <f t="shared" si="0"/>
        <v>2028300</v>
      </c>
      <c r="J18" s="3"/>
    </row>
    <row r="19" spans="1:10" x14ac:dyDescent="0.2">
      <c r="A19" s="69">
        <v>12</v>
      </c>
      <c r="B19" s="85" t="s">
        <v>16</v>
      </c>
      <c r="C19" s="35">
        <f>HLOOKUP(B19,'Ressourcenausgleich Basis'!$C$8:$BZ$151,144,FALSE)</f>
        <v>0</v>
      </c>
      <c r="D19" s="117">
        <f>HLOOKUP(B19,'SL Weite Basis'!$C$8:$BZ$74,67,FALSE)</f>
        <v>0</v>
      </c>
      <c r="E19" s="77">
        <f>HLOOKUP(B19,'SL Schule Basis'!$C$8:$BZ$64,57,FALSE)</f>
        <v>0</v>
      </c>
      <c r="F19" s="35">
        <f>HLOOKUP(B19,'SL Sozio Basis'!$C$8:$BZ$55,48,FALSE)</f>
        <v>292400</v>
      </c>
      <c r="G19" s="77">
        <v>0</v>
      </c>
      <c r="H19" s="88">
        <f t="shared" si="0"/>
        <v>292400</v>
      </c>
      <c r="J19" s="3"/>
    </row>
    <row r="20" spans="1:10" x14ac:dyDescent="0.2">
      <c r="A20" s="69">
        <v>13</v>
      </c>
      <c r="B20" s="85" t="s">
        <v>17</v>
      </c>
      <c r="C20" s="35">
        <f>HLOOKUP(B20,'Ressourcenausgleich Basis'!$C$8:$BZ$151,144,FALSE)</f>
        <v>4398700</v>
      </c>
      <c r="D20" s="117">
        <f>HLOOKUP(B20,'SL Weite Basis'!$C$8:$BZ$74,67,FALSE)</f>
        <v>0</v>
      </c>
      <c r="E20" s="77">
        <f>HLOOKUP(B20,'SL Schule Basis'!$C$8:$BZ$64,57,FALSE)</f>
        <v>0</v>
      </c>
      <c r="F20" s="35">
        <f>HLOOKUP(B20,'SL Sozio Basis'!$C$8:$BZ$55,48,FALSE)</f>
        <v>755600</v>
      </c>
      <c r="G20" s="77">
        <v>0</v>
      </c>
      <c r="H20" s="88">
        <f t="shared" si="0"/>
        <v>5154300</v>
      </c>
      <c r="J20" s="3"/>
    </row>
    <row r="21" spans="1:10" x14ac:dyDescent="0.2">
      <c r="A21" s="69">
        <v>14</v>
      </c>
      <c r="B21" s="85" t="s">
        <v>18</v>
      </c>
      <c r="C21" s="35">
        <f>HLOOKUP(B21,'Ressourcenausgleich Basis'!$C$8:$BZ$151,144,FALSE)</f>
        <v>0</v>
      </c>
      <c r="D21" s="117">
        <f>HLOOKUP(B21,'SL Weite Basis'!$C$8:$BZ$74,67,FALSE)</f>
        <v>0</v>
      </c>
      <c r="E21" s="77">
        <f>HLOOKUP(B21,'SL Schule Basis'!$C$8:$BZ$64,57,FALSE)</f>
        <v>0</v>
      </c>
      <c r="F21" s="35">
        <f>HLOOKUP(B21,'SL Sozio Basis'!$C$8:$BZ$55,48,FALSE)</f>
        <v>0</v>
      </c>
      <c r="G21" s="77">
        <v>0</v>
      </c>
      <c r="H21" s="88">
        <f t="shared" si="0"/>
        <v>0</v>
      </c>
      <c r="J21" s="3"/>
    </row>
    <row r="22" spans="1:10" x14ac:dyDescent="0.2">
      <c r="A22" s="69">
        <v>15</v>
      </c>
      <c r="B22" s="85" t="s">
        <v>19</v>
      </c>
      <c r="C22" s="35">
        <f>HLOOKUP(B22,'Ressourcenausgleich Basis'!$C$8:$BZ$151,144,FALSE)</f>
        <v>1918100</v>
      </c>
      <c r="D22" s="117">
        <f>HLOOKUP(B22,'SL Weite Basis'!$C$8:$BZ$74,67,FALSE)</f>
        <v>0</v>
      </c>
      <c r="E22" s="77">
        <f>HLOOKUP(B22,'SL Schule Basis'!$C$8:$BZ$64,57,FALSE)</f>
        <v>0</v>
      </c>
      <c r="F22" s="35">
        <f>HLOOKUP(B22,'SL Sozio Basis'!$C$8:$BZ$55,48,FALSE)</f>
        <v>133700</v>
      </c>
      <c r="G22" s="77">
        <v>0</v>
      </c>
      <c r="H22" s="88">
        <f t="shared" si="0"/>
        <v>2051800</v>
      </c>
      <c r="J22" s="3"/>
    </row>
    <row r="23" spans="1:10" x14ac:dyDescent="0.2">
      <c r="A23" s="69">
        <v>16</v>
      </c>
      <c r="B23" s="85" t="s">
        <v>20</v>
      </c>
      <c r="C23" s="35">
        <f>HLOOKUP(B23,'Ressourcenausgleich Basis'!$C$8:$BZ$151,144,FALSE)</f>
        <v>641000</v>
      </c>
      <c r="D23" s="117">
        <f>HLOOKUP(B23,'SL Weite Basis'!$C$8:$BZ$74,67,FALSE)</f>
        <v>0</v>
      </c>
      <c r="E23" s="77">
        <f>HLOOKUP(B23,'SL Schule Basis'!$C$8:$BZ$64,57,FALSE)</f>
        <v>450300</v>
      </c>
      <c r="F23" s="35">
        <f>HLOOKUP(B23,'SL Sozio Basis'!$C$8:$BZ$55,48,FALSE)</f>
        <v>325300</v>
      </c>
      <c r="G23" s="77">
        <v>0</v>
      </c>
      <c r="H23" s="88">
        <f t="shared" si="0"/>
        <v>1416600</v>
      </c>
      <c r="J23" s="3"/>
    </row>
    <row r="24" spans="1:10" x14ac:dyDescent="0.2">
      <c r="A24" s="69">
        <v>17</v>
      </c>
      <c r="B24" s="85" t="s">
        <v>21</v>
      </c>
      <c r="C24" s="35">
        <f>HLOOKUP(B24,'Ressourcenausgleich Basis'!$C$8:$BZ$151,144,FALSE)</f>
        <v>0</v>
      </c>
      <c r="D24" s="117">
        <f>HLOOKUP(B24,'SL Weite Basis'!$C$8:$BZ$74,67,FALSE)</f>
        <v>0</v>
      </c>
      <c r="E24" s="77">
        <f>HLOOKUP(B24,'SL Schule Basis'!$C$8:$BZ$64,57,FALSE)</f>
        <v>0</v>
      </c>
      <c r="F24" s="35">
        <f>HLOOKUP(B24,'SL Sozio Basis'!$C$8:$BZ$55,48,FALSE)</f>
        <v>124200</v>
      </c>
      <c r="G24" s="77">
        <v>0</v>
      </c>
      <c r="H24" s="88">
        <f t="shared" si="0"/>
        <v>124200</v>
      </c>
      <c r="J24" s="3"/>
    </row>
    <row r="25" spans="1:10" x14ac:dyDescent="0.2">
      <c r="A25" s="69">
        <v>18</v>
      </c>
      <c r="B25" s="85" t="s">
        <v>22</v>
      </c>
      <c r="C25" s="35">
        <f>HLOOKUP(B25,'Ressourcenausgleich Basis'!$C$8:$BZ$151,144,FALSE)</f>
        <v>0</v>
      </c>
      <c r="D25" s="117">
        <f>HLOOKUP(B25,'SL Weite Basis'!$C$8:$BZ$74,67,FALSE)</f>
        <v>0</v>
      </c>
      <c r="E25" s="77">
        <f>HLOOKUP(B25,'SL Schule Basis'!$C$8:$BZ$64,57,FALSE)</f>
        <v>15600</v>
      </c>
      <c r="F25" s="35">
        <f>HLOOKUP(B25,'SL Sozio Basis'!$C$8:$BZ$55,48,FALSE)</f>
        <v>6000</v>
      </c>
      <c r="G25" s="77">
        <v>0</v>
      </c>
      <c r="H25" s="88">
        <f t="shared" si="0"/>
        <v>21600</v>
      </c>
      <c r="J25" s="3"/>
    </row>
    <row r="26" spans="1:10" x14ac:dyDescent="0.2">
      <c r="A26" s="69">
        <v>19</v>
      </c>
      <c r="B26" s="85" t="s">
        <v>23</v>
      </c>
      <c r="C26" s="35">
        <f>HLOOKUP(B26,'Ressourcenausgleich Basis'!$C$8:$BZ$151,144,FALSE)</f>
        <v>0</v>
      </c>
      <c r="D26" s="117">
        <f>HLOOKUP(B26,'SL Weite Basis'!$C$8:$BZ$74,67,FALSE)</f>
        <v>0</v>
      </c>
      <c r="E26" s="77">
        <f>HLOOKUP(B26,'SL Schule Basis'!$C$8:$BZ$64,57,FALSE)</f>
        <v>0</v>
      </c>
      <c r="F26" s="35">
        <f>HLOOKUP(B26,'SL Sozio Basis'!$C$8:$BZ$55,48,FALSE)</f>
        <v>0</v>
      </c>
      <c r="G26" s="77">
        <v>0</v>
      </c>
      <c r="H26" s="88">
        <f t="shared" si="0"/>
        <v>0</v>
      </c>
      <c r="J26" s="3"/>
    </row>
    <row r="27" spans="1:10" x14ac:dyDescent="0.2">
      <c r="A27" s="69">
        <v>20</v>
      </c>
      <c r="B27" s="85" t="s">
        <v>24</v>
      </c>
      <c r="C27" s="35">
        <f>HLOOKUP(B27,'Ressourcenausgleich Basis'!$C$8:$BZ$151,144,FALSE)</f>
        <v>0</v>
      </c>
      <c r="D27" s="117">
        <f>HLOOKUP(B27,'SL Weite Basis'!$C$8:$BZ$74,67,FALSE)</f>
        <v>0</v>
      </c>
      <c r="E27" s="77">
        <f>HLOOKUP(B27,'SL Schule Basis'!$C$8:$BZ$64,57,FALSE)</f>
        <v>161900</v>
      </c>
      <c r="F27" s="35">
        <f>HLOOKUP(B27,'SL Sozio Basis'!$C$8:$BZ$55,48,FALSE)</f>
        <v>0</v>
      </c>
      <c r="G27" s="77">
        <v>0</v>
      </c>
      <c r="H27" s="88">
        <f t="shared" si="0"/>
        <v>161900</v>
      </c>
      <c r="J27" s="3"/>
    </row>
    <row r="28" spans="1:10" x14ac:dyDescent="0.2">
      <c r="A28" s="69">
        <v>21</v>
      </c>
      <c r="B28" s="85" t="s">
        <v>25</v>
      </c>
      <c r="C28" s="35">
        <f>HLOOKUP(B28,'Ressourcenausgleich Basis'!$C$8:$BZ$151,144,FALSE)</f>
        <v>0</v>
      </c>
      <c r="D28" s="117">
        <f>HLOOKUP(B28,'SL Weite Basis'!$C$8:$BZ$74,67,FALSE)</f>
        <v>0</v>
      </c>
      <c r="E28" s="77">
        <f>HLOOKUP(B28,'SL Schule Basis'!$C$8:$BZ$64,57,FALSE)</f>
        <v>153000</v>
      </c>
      <c r="F28" s="35">
        <f>HLOOKUP(B28,'SL Sozio Basis'!$C$8:$BZ$55,48,FALSE)</f>
        <v>0</v>
      </c>
      <c r="G28" s="77">
        <v>0</v>
      </c>
      <c r="H28" s="88">
        <f t="shared" si="0"/>
        <v>153000</v>
      </c>
      <c r="J28" s="3"/>
    </row>
    <row r="29" spans="1:10" x14ac:dyDescent="0.2">
      <c r="A29" s="69">
        <v>22</v>
      </c>
      <c r="B29" s="85" t="s">
        <v>26</v>
      </c>
      <c r="C29" s="35">
        <f>HLOOKUP(B29,'Ressourcenausgleich Basis'!$C$8:$BZ$151,144,FALSE)</f>
        <v>0</v>
      </c>
      <c r="D29" s="117">
        <f>HLOOKUP(B29,'SL Weite Basis'!$C$8:$BZ$74,67,FALSE)</f>
        <v>0</v>
      </c>
      <c r="E29" s="77">
        <f>HLOOKUP(B29,'SL Schule Basis'!$C$8:$BZ$64,57,FALSE)</f>
        <v>0</v>
      </c>
      <c r="F29" s="35">
        <f>HLOOKUP(B29,'SL Sozio Basis'!$C$8:$BZ$55,48,FALSE)</f>
        <v>118600</v>
      </c>
      <c r="G29" s="77">
        <v>0</v>
      </c>
      <c r="H29" s="88">
        <f t="shared" si="0"/>
        <v>118600</v>
      </c>
      <c r="J29" s="3"/>
    </row>
    <row r="30" spans="1:10" x14ac:dyDescent="0.2">
      <c r="A30" s="69">
        <v>23</v>
      </c>
      <c r="B30" s="85" t="s">
        <v>27</v>
      </c>
      <c r="C30" s="35">
        <f>HLOOKUP(B30,'Ressourcenausgleich Basis'!$C$8:$BZ$151,144,FALSE)</f>
        <v>719800</v>
      </c>
      <c r="D30" s="117">
        <f>HLOOKUP(B30,'SL Weite Basis'!$C$8:$BZ$74,67,FALSE)</f>
        <v>130400</v>
      </c>
      <c r="E30" s="77">
        <f>HLOOKUP(B30,'SL Schule Basis'!$C$8:$BZ$64,57,FALSE)</f>
        <v>0</v>
      </c>
      <c r="F30" s="35">
        <f>HLOOKUP(B30,'SL Sozio Basis'!$C$8:$BZ$55,48,FALSE)</f>
        <v>0</v>
      </c>
      <c r="G30" s="77">
        <v>0</v>
      </c>
      <c r="H30" s="88">
        <f t="shared" si="0"/>
        <v>850200</v>
      </c>
      <c r="J30" s="3"/>
    </row>
    <row r="31" spans="1:10" x14ac:dyDescent="0.2">
      <c r="A31" s="69">
        <v>24</v>
      </c>
      <c r="B31" s="85" t="s">
        <v>28</v>
      </c>
      <c r="C31" s="35">
        <f>HLOOKUP(B31,'Ressourcenausgleich Basis'!$C$8:$BZ$151,144,FALSE)</f>
        <v>213700</v>
      </c>
      <c r="D31" s="117">
        <f>HLOOKUP(B31,'SL Weite Basis'!$C$8:$BZ$74,67,FALSE)</f>
        <v>987500</v>
      </c>
      <c r="E31" s="77">
        <f>HLOOKUP(B31,'SL Schule Basis'!$C$8:$BZ$64,57,FALSE)</f>
        <v>0</v>
      </c>
      <c r="F31" s="35">
        <f>HLOOKUP(B31,'SL Sozio Basis'!$C$8:$BZ$55,48,FALSE)</f>
        <v>0</v>
      </c>
      <c r="G31" s="77">
        <v>0</v>
      </c>
      <c r="H31" s="88">
        <f t="shared" si="0"/>
        <v>1201200</v>
      </c>
      <c r="J31" s="3"/>
    </row>
    <row r="32" spans="1:10" x14ac:dyDescent="0.2">
      <c r="A32" s="69">
        <v>25</v>
      </c>
      <c r="B32" s="85" t="s">
        <v>29</v>
      </c>
      <c r="C32" s="35">
        <f>HLOOKUP(B32,'Ressourcenausgleich Basis'!$C$8:$BZ$151,144,FALSE)</f>
        <v>790100</v>
      </c>
      <c r="D32" s="117">
        <f>HLOOKUP(B32,'SL Weite Basis'!$C$8:$BZ$74,67,FALSE)</f>
        <v>236800</v>
      </c>
      <c r="E32" s="77">
        <f>HLOOKUP(B32,'SL Schule Basis'!$C$8:$BZ$64,57,FALSE)</f>
        <v>125500</v>
      </c>
      <c r="F32" s="35">
        <f>HLOOKUP(B32,'SL Sozio Basis'!$C$8:$BZ$55,48,FALSE)</f>
        <v>0</v>
      </c>
      <c r="G32" s="77">
        <v>0</v>
      </c>
      <c r="H32" s="88">
        <f t="shared" si="0"/>
        <v>1152400</v>
      </c>
      <c r="J32" s="3"/>
    </row>
    <row r="33" spans="1:10" x14ac:dyDescent="0.2">
      <c r="A33" s="69">
        <v>26</v>
      </c>
      <c r="B33" s="85" t="s">
        <v>30</v>
      </c>
      <c r="C33" s="35">
        <f>HLOOKUP(B33,'Ressourcenausgleich Basis'!$C$8:$BZ$151,144,FALSE)</f>
        <v>1668600</v>
      </c>
      <c r="D33" s="117">
        <f>HLOOKUP(B33,'SL Weite Basis'!$C$8:$BZ$74,67,FALSE)</f>
        <v>1446800</v>
      </c>
      <c r="E33" s="77">
        <f>HLOOKUP(B33,'SL Schule Basis'!$C$8:$BZ$64,57,FALSE)</f>
        <v>949700</v>
      </c>
      <c r="F33" s="35">
        <f>HLOOKUP(B33,'SL Sozio Basis'!$C$8:$BZ$55,48,FALSE)</f>
        <v>0</v>
      </c>
      <c r="G33" s="77">
        <v>0</v>
      </c>
      <c r="H33" s="88">
        <f t="shared" si="0"/>
        <v>4065100</v>
      </c>
      <c r="J33" s="3"/>
    </row>
    <row r="34" spans="1:10" x14ac:dyDescent="0.2">
      <c r="A34" s="69">
        <v>27</v>
      </c>
      <c r="B34" s="85" t="s">
        <v>31</v>
      </c>
      <c r="C34" s="35">
        <f>HLOOKUP(B34,'Ressourcenausgleich Basis'!$C$8:$BZ$151,144,FALSE)</f>
        <v>889100</v>
      </c>
      <c r="D34" s="117">
        <f>HLOOKUP(B34,'SL Weite Basis'!$C$8:$BZ$74,67,FALSE)</f>
        <v>266100</v>
      </c>
      <c r="E34" s="77">
        <f>HLOOKUP(B34,'SL Schule Basis'!$C$8:$BZ$64,57,FALSE)</f>
        <v>563100</v>
      </c>
      <c r="F34" s="35">
        <f>HLOOKUP(B34,'SL Sozio Basis'!$C$8:$BZ$55,48,FALSE)</f>
        <v>0</v>
      </c>
      <c r="G34" s="77">
        <v>0</v>
      </c>
      <c r="H34" s="88">
        <f t="shared" si="0"/>
        <v>1718300</v>
      </c>
      <c r="J34" s="3"/>
    </row>
    <row r="35" spans="1:10" x14ac:dyDescent="0.2">
      <c r="A35" s="69">
        <v>28</v>
      </c>
      <c r="B35" s="85" t="s">
        <v>32</v>
      </c>
      <c r="C35" s="35">
        <f>HLOOKUP(B35,'Ressourcenausgleich Basis'!$C$8:$BZ$151,144,FALSE)</f>
        <v>0</v>
      </c>
      <c r="D35" s="117">
        <f>HLOOKUP(B35,'SL Weite Basis'!$C$8:$BZ$74,67,FALSE)</f>
        <v>0</v>
      </c>
      <c r="E35" s="77">
        <f>HLOOKUP(B35,'SL Schule Basis'!$C$8:$BZ$64,57,FALSE)</f>
        <v>0</v>
      </c>
      <c r="F35" s="35">
        <f>HLOOKUP(B35,'SL Sozio Basis'!$C$8:$BZ$55,48,FALSE)</f>
        <v>0</v>
      </c>
      <c r="G35" s="77">
        <v>0</v>
      </c>
      <c r="H35" s="88">
        <f t="shared" si="0"/>
        <v>0</v>
      </c>
      <c r="J35" s="3"/>
    </row>
    <row r="36" spans="1:10" x14ac:dyDescent="0.2">
      <c r="A36" s="69">
        <v>29</v>
      </c>
      <c r="B36" s="85" t="s">
        <v>33</v>
      </c>
      <c r="C36" s="35">
        <f>HLOOKUP(B36,'Ressourcenausgleich Basis'!$C$8:$BZ$151,144,FALSE)</f>
        <v>1460300</v>
      </c>
      <c r="D36" s="117">
        <f>HLOOKUP(B36,'SL Weite Basis'!$C$8:$BZ$74,67,FALSE)</f>
        <v>447500</v>
      </c>
      <c r="E36" s="77">
        <f>HLOOKUP(B36,'SL Schule Basis'!$C$8:$BZ$64,57,FALSE)</f>
        <v>803200</v>
      </c>
      <c r="F36" s="35">
        <f>HLOOKUP(B36,'SL Sozio Basis'!$C$8:$BZ$55,48,FALSE)</f>
        <v>0</v>
      </c>
      <c r="G36" s="77">
        <v>0</v>
      </c>
      <c r="H36" s="88">
        <f t="shared" si="0"/>
        <v>2711000</v>
      </c>
      <c r="J36" s="3"/>
    </row>
    <row r="37" spans="1:10" x14ac:dyDescent="0.2">
      <c r="A37" s="69">
        <v>30</v>
      </c>
      <c r="B37" s="85" t="s">
        <v>34</v>
      </c>
      <c r="C37" s="35">
        <f>HLOOKUP(B37,'Ressourcenausgleich Basis'!$C$8:$BZ$151,144,FALSE)</f>
        <v>2082200</v>
      </c>
      <c r="D37" s="117">
        <f>HLOOKUP(B37,'SL Weite Basis'!$C$8:$BZ$74,67,FALSE)</f>
        <v>1032600</v>
      </c>
      <c r="E37" s="77">
        <f>HLOOKUP(B37,'SL Schule Basis'!$C$8:$BZ$64,57,FALSE)</f>
        <v>598700</v>
      </c>
      <c r="F37" s="35">
        <f>HLOOKUP(B37,'SL Sozio Basis'!$C$8:$BZ$55,48,FALSE)</f>
        <v>0</v>
      </c>
      <c r="G37" s="77">
        <v>0</v>
      </c>
      <c r="H37" s="88">
        <f t="shared" si="0"/>
        <v>3713500</v>
      </c>
      <c r="J37" s="3"/>
    </row>
    <row r="38" spans="1:10" x14ac:dyDescent="0.2">
      <c r="A38" s="69">
        <v>31</v>
      </c>
      <c r="B38" s="85" t="s">
        <v>35</v>
      </c>
      <c r="C38" s="35">
        <f>HLOOKUP(B38,'Ressourcenausgleich Basis'!$C$8:$BZ$151,144,FALSE)</f>
        <v>1405300</v>
      </c>
      <c r="D38" s="117">
        <f>HLOOKUP(B38,'SL Weite Basis'!$C$8:$BZ$74,67,FALSE)</f>
        <v>0</v>
      </c>
      <c r="E38" s="77">
        <f>HLOOKUP(B38,'SL Schule Basis'!$C$8:$BZ$64,57,FALSE)</f>
        <v>267800</v>
      </c>
      <c r="F38" s="35">
        <f>HLOOKUP(B38,'SL Sozio Basis'!$C$8:$BZ$55,48,FALSE)</f>
        <v>0</v>
      </c>
      <c r="G38" s="77">
        <v>0</v>
      </c>
      <c r="H38" s="88">
        <f t="shared" si="0"/>
        <v>1673100</v>
      </c>
      <c r="J38" s="3"/>
    </row>
    <row r="39" spans="1:10" x14ac:dyDescent="0.2">
      <c r="A39" s="69">
        <v>32</v>
      </c>
      <c r="B39" s="85" t="s">
        <v>36</v>
      </c>
      <c r="C39" s="35">
        <f>HLOOKUP(B39,'Ressourcenausgleich Basis'!$C$8:$BZ$151,144,FALSE)</f>
        <v>2305900</v>
      </c>
      <c r="D39" s="117">
        <f>HLOOKUP(B39,'SL Weite Basis'!$C$8:$BZ$74,67,FALSE)</f>
        <v>129400</v>
      </c>
      <c r="E39" s="77">
        <f>HLOOKUP(B39,'SL Schule Basis'!$C$8:$BZ$64,57,FALSE)</f>
        <v>1013400</v>
      </c>
      <c r="F39" s="35">
        <f>HLOOKUP(B39,'SL Sozio Basis'!$C$8:$BZ$55,48,FALSE)</f>
        <v>36400</v>
      </c>
      <c r="G39" s="77">
        <v>0</v>
      </c>
      <c r="H39" s="88">
        <f t="shared" si="0"/>
        <v>3485100</v>
      </c>
      <c r="J39" s="3"/>
    </row>
    <row r="40" spans="1:10" x14ac:dyDescent="0.2">
      <c r="A40" s="69">
        <v>33</v>
      </c>
      <c r="B40" s="85" t="s">
        <v>37</v>
      </c>
      <c r="C40" s="35">
        <f>HLOOKUP(B40,'Ressourcenausgleich Basis'!$C$8:$BZ$151,144,FALSE)</f>
        <v>4232200</v>
      </c>
      <c r="D40" s="117">
        <f>HLOOKUP(B40,'SL Weite Basis'!$C$8:$BZ$74,67,FALSE)</f>
        <v>348500</v>
      </c>
      <c r="E40" s="77">
        <f>HLOOKUP(B40,'SL Schule Basis'!$C$8:$BZ$64,57,FALSE)</f>
        <v>1125100</v>
      </c>
      <c r="F40" s="35">
        <f>HLOOKUP(B40,'SL Sozio Basis'!$C$8:$BZ$55,48,FALSE)</f>
        <v>0</v>
      </c>
      <c r="G40" s="77">
        <v>0</v>
      </c>
      <c r="H40" s="88">
        <f t="shared" ref="H40:H69" si="1">SUM(C40:G40)</f>
        <v>5705800</v>
      </c>
      <c r="J40" s="3"/>
    </row>
    <row r="41" spans="1:10" x14ac:dyDescent="0.2">
      <c r="A41" s="69">
        <v>34</v>
      </c>
      <c r="B41" s="85" t="s">
        <v>38</v>
      </c>
      <c r="C41" s="35">
        <f>HLOOKUP(B41,'Ressourcenausgleich Basis'!$C$8:$BZ$151,144,FALSE)</f>
        <v>2688600</v>
      </c>
      <c r="D41" s="117">
        <f>HLOOKUP(B41,'SL Weite Basis'!$C$8:$BZ$74,67,FALSE)</f>
        <v>0</v>
      </c>
      <c r="E41" s="77">
        <f>HLOOKUP(B41,'SL Schule Basis'!$C$8:$BZ$64,57,FALSE)</f>
        <v>291100</v>
      </c>
      <c r="F41" s="35">
        <f>HLOOKUP(B41,'SL Sozio Basis'!$C$8:$BZ$55,48,FALSE)</f>
        <v>0</v>
      </c>
      <c r="G41" s="77">
        <v>0</v>
      </c>
      <c r="H41" s="88">
        <f t="shared" si="1"/>
        <v>2979700</v>
      </c>
      <c r="J41" s="3"/>
    </row>
    <row r="42" spans="1:10" x14ac:dyDescent="0.2">
      <c r="A42" s="69">
        <v>35</v>
      </c>
      <c r="B42" s="85" t="s">
        <v>39</v>
      </c>
      <c r="C42" s="35">
        <f>HLOOKUP(B42,'Ressourcenausgleich Basis'!$C$8:$BZ$151,144,FALSE)</f>
        <v>2535500</v>
      </c>
      <c r="D42" s="117">
        <f>HLOOKUP(B42,'SL Weite Basis'!$C$8:$BZ$74,67,FALSE)</f>
        <v>170500</v>
      </c>
      <c r="E42" s="77">
        <f>HLOOKUP(B42,'SL Schule Basis'!$C$8:$BZ$64,57,FALSE)</f>
        <v>0</v>
      </c>
      <c r="F42" s="35">
        <f>HLOOKUP(B42,'SL Sozio Basis'!$C$8:$BZ$55,48,FALSE)</f>
        <v>0</v>
      </c>
      <c r="G42" s="77">
        <v>0</v>
      </c>
      <c r="H42" s="88">
        <f t="shared" si="1"/>
        <v>2706000</v>
      </c>
      <c r="J42" s="3"/>
    </row>
    <row r="43" spans="1:10" x14ac:dyDescent="0.2">
      <c r="A43" s="69">
        <v>36</v>
      </c>
      <c r="B43" s="85" t="s">
        <v>40</v>
      </c>
      <c r="C43" s="35">
        <f>HLOOKUP(B43,'Ressourcenausgleich Basis'!$C$8:$BZ$151,144,FALSE)</f>
        <v>0</v>
      </c>
      <c r="D43" s="117">
        <f>HLOOKUP(B43,'SL Weite Basis'!$C$8:$BZ$74,67,FALSE)</f>
        <v>0</v>
      </c>
      <c r="E43" s="77">
        <f>HLOOKUP(B43,'SL Schule Basis'!$C$8:$BZ$64,57,FALSE)</f>
        <v>0</v>
      </c>
      <c r="F43" s="35">
        <f>HLOOKUP(B43,'SL Sozio Basis'!$C$8:$BZ$55,48,FALSE)</f>
        <v>0</v>
      </c>
      <c r="G43" s="77">
        <v>0</v>
      </c>
      <c r="H43" s="88">
        <f t="shared" si="1"/>
        <v>0</v>
      </c>
      <c r="J43" s="3"/>
    </row>
    <row r="44" spans="1:10" x14ac:dyDescent="0.2">
      <c r="A44" s="69">
        <v>37</v>
      </c>
      <c r="B44" s="85" t="s">
        <v>41</v>
      </c>
      <c r="C44" s="35">
        <f>HLOOKUP(B44,'Ressourcenausgleich Basis'!$C$8:$BZ$151,144,FALSE)</f>
        <v>1224000</v>
      </c>
      <c r="D44" s="117">
        <f>HLOOKUP(B44,'SL Weite Basis'!$C$8:$BZ$74,67,FALSE)</f>
        <v>2369200</v>
      </c>
      <c r="E44" s="77">
        <f>HLOOKUP(B44,'SL Schule Basis'!$C$8:$BZ$64,57,FALSE)</f>
        <v>0</v>
      </c>
      <c r="F44" s="35">
        <f>HLOOKUP(B44,'SL Sozio Basis'!$C$8:$BZ$55,48,FALSE)</f>
        <v>91400</v>
      </c>
      <c r="G44" s="77">
        <v>0</v>
      </c>
      <c r="H44" s="88">
        <f t="shared" si="1"/>
        <v>3684600</v>
      </c>
      <c r="J44" s="3"/>
    </row>
    <row r="45" spans="1:10" x14ac:dyDescent="0.2">
      <c r="A45" s="69">
        <v>38</v>
      </c>
      <c r="B45" s="85" t="s">
        <v>42</v>
      </c>
      <c r="C45" s="35">
        <f>HLOOKUP(B45,'Ressourcenausgleich Basis'!$C$8:$BZ$151,144,FALSE)</f>
        <v>5260600</v>
      </c>
      <c r="D45" s="117">
        <f>HLOOKUP(B45,'SL Weite Basis'!$C$8:$BZ$74,67,FALSE)</f>
        <v>1066200</v>
      </c>
      <c r="E45" s="77">
        <f>HLOOKUP(B45,'SL Schule Basis'!$C$8:$BZ$64,57,FALSE)</f>
        <v>658300</v>
      </c>
      <c r="F45" s="35">
        <f>HLOOKUP(B45,'SL Sozio Basis'!$C$8:$BZ$55,48,FALSE)</f>
        <v>0</v>
      </c>
      <c r="G45" s="77">
        <v>0</v>
      </c>
      <c r="H45" s="88">
        <f t="shared" si="1"/>
        <v>6985100</v>
      </c>
      <c r="J45" s="3"/>
    </row>
    <row r="46" spans="1:10" x14ac:dyDescent="0.2">
      <c r="A46" s="69">
        <v>39</v>
      </c>
      <c r="B46" s="85" t="s">
        <v>43</v>
      </c>
      <c r="C46" s="35">
        <f>HLOOKUP(B46,'Ressourcenausgleich Basis'!$C$8:$BZ$151,144,FALSE)</f>
        <v>2693500</v>
      </c>
      <c r="D46" s="117">
        <f>HLOOKUP(B46,'SL Weite Basis'!$C$8:$BZ$74,67,FALSE)</f>
        <v>1021500</v>
      </c>
      <c r="E46" s="77">
        <f>HLOOKUP(B46,'SL Schule Basis'!$C$8:$BZ$64,57,FALSE)</f>
        <v>452600</v>
      </c>
      <c r="F46" s="35">
        <f>HLOOKUP(B46,'SL Sozio Basis'!$C$8:$BZ$55,48,FALSE)</f>
        <v>27000</v>
      </c>
      <c r="G46" s="77">
        <v>0</v>
      </c>
      <c r="H46" s="88">
        <f t="shared" si="1"/>
        <v>4194600</v>
      </c>
      <c r="J46" s="3"/>
    </row>
    <row r="47" spans="1:10" x14ac:dyDescent="0.2">
      <c r="A47" s="69">
        <v>40</v>
      </c>
      <c r="B47" s="85" t="s">
        <v>44</v>
      </c>
      <c r="C47" s="35">
        <f>HLOOKUP(B47,'Ressourcenausgleich Basis'!$C$8:$BZ$151,144,FALSE)</f>
        <v>1884900</v>
      </c>
      <c r="D47" s="117">
        <f>HLOOKUP(B47,'SL Weite Basis'!$C$8:$BZ$74,67,FALSE)</f>
        <v>0</v>
      </c>
      <c r="E47" s="77">
        <f>HLOOKUP(B47,'SL Schule Basis'!$C$8:$BZ$64,57,FALSE)</f>
        <v>242900</v>
      </c>
      <c r="F47" s="35">
        <f>HLOOKUP(B47,'SL Sozio Basis'!$C$8:$BZ$55,48,FALSE)</f>
        <v>36800</v>
      </c>
      <c r="G47" s="77">
        <v>0</v>
      </c>
      <c r="H47" s="88">
        <f t="shared" si="1"/>
        <v>2164600</v>
      </c>
      <c r="J47" s="3"/>
    </row>
    <row r="48" spans="1:10" x14ac:dyDescent="0.2">
      <c r="A48" s="69">
        <v>41</v>
      </c>
      <c r="B48" s="85" t="s">
        <v>45</v>
      </c>
      <c r="C48" s="35">
        <f>HLOOKUP(B48,'Ressourcenausgleich Basis'!$C$8:$BZ$151,144,FALSE)</f>
        <v>58500</v>
      </c>
      <c r="D48" s="117">
        <f>HLOOKUP(B48,'SL Weite Basis'!$C$8:$BZ$74,67,FALSE)</f>
        <v>476500</v>
      </c>
      <c r="E48" s="77">
        <f>HLOOKUP(B48,'SL Schule Basis'!$C$8:$BZ$64,57,FALSE)</f>
        <v>0</v>
      </c>
      <c r="F48" s="35">
        <f>HLOOKUP(B48,'SL Sozio Basis'!$C$8:$BZ$55,48,FALSE)</f>
        <v>0</v>
      </c>
      <c r="G48" s="77">
        <v>0</v>
      </c>
      <c r="H48" s="88">
        <f t="shared" si="1"/>
        <v>535000</v>
      </c>
      <c r="J48" s="3"/>
    </row>
    <row r="49" spans="1:10" x14ac:dyDescent="0.2">
      <c r="A49" s="69">
        <v>42</v>
      </c>
      <c r="B49" s="85" t="s">
        <v>46</v>
      </c>
      <c r="C49" s="35">
        <f>HLOOKUP(B49,'Ressourcenausgleich Basis'!$C$8:$BZ$151,144,FALSE)</f>
        <v>0</v>
      </c>
      <c r="D49" s="117">
        <f>HLOOKUP(B49,'SL Weite Basis'!$C$8:$BZ$74,67,FALSE)</f>
        <v>225900</v>
      </c>
      <c r="E49" s="77">
        <f>HLOOKUP(B49,'SL Schule Basis'!$C$8:$BZ$64,57,FALSE)</f>
        <v>0</v>
      </c>
      <c r="F49" s="35">
        <f>HLOOKUP(B49,'SL Sozio Basis'!$C$8:$BZ$55,48,FALSE)</f>
        <v>0</v>
      </c>
      <c r="G49" s="77">
        <v>0</v>
      </c>
      <c r="H49" s="88">
        <f t="shared" si="1"/>
        <v>225900</v>
      </c>
      <c r="J49" s="3"/>
    </row>
    <row r="50" spans="1:10" x14ac:dyDescent="0.2">
      <c r="A50" s="69">
        <v>43</v>
      </c>
      <c r="B50" s="85" t="s">
        <v>47</v>
      </c>
      <c r="C50" s="35">
        <f>HLOOKUP(B50,'Ressourcenausgleich Basis'!$C$8:$BZ$151,144,FALSE)</f>
        <v>0</v>
      </c>
      <c r="D50" s="117">
        <f>HLOOKUP(B50,'SL Weite Basis'!$C$8:$BZ$74,67,FALSE)</f>
        <v>0</v>
      </c>
      <c r="E50" s="77">
        <f>HLOOKUP(B50,'SL Schule Basis'!$C$8:$BZ$64,57,FALSE)</f>
        <v>0</v>
      </c>
      <c r="F50" s="35">
        <f>HLOOKUP(B50,'SL Sozio Basis'!$C$8:$BZ$55,48,FALSE)</f>
        <v>0</v>
      </c>
      <c r="G50" s="77">
        <v>0</v>
      </c>
      <c r="H50" s="88">
        <f t="shared" si="1"/>
        <v>0</v>
      </c>
      <c r="J50" s="3"/>
    </row>
    <row r="51" spans="1:10" x14ac:dyDescent="0.2">
      <c r="A51" s="69">
        <v>44</v>
      </c>
      <c r="B51" s="85" t="s">
        <v>48</v>
      </c>
      <c r="C51" s="35">
        <f>HLOOKUP(B51,'Ressourcenausgleich Basis'!$C$8:$BZ$151,144,FALSE)</f>
        <v>3521900</v>
      </c>
      <c r="D51" s="117">
        <f>HLOOKUP(B51,'SL Weite Basis'!$C$8:$BZ$74,67,FALSE)</f>
        <v>299800</v>
      </c>
      <c r="E51" s="77">
        <f>HLOOKUP(B51,'SL Schule Basis'!$C$8:$BZ$64,57,FALSE)</f>
        <v>1204800</v>
      </c>
      <c r="F51" s="35">
        <f>HLOOKUP(B51,'SL Sozio Basis'!$C$8:$BZ$55,48,FALSE)</f>
        <v>82700</v>
      </c>
      <c r="G51" s="77">
        <v>0</v>
      </c>
      <c r="H51" s="88">
        <f t="shared" si="1"/>
        <v>5109200</v>
      </c>
      <c r="J51" s="3"/>
    </row>
    <row r="52" spans="1:10" x14ac:dyDescent="0.2">
      <c r="A52" s="69">
        <v>45</v>
      </c>
      <c r="B52" s="85" t="s">
        <v>49</v>
      </c>
      <c r="C52" s="35">
        <f>HLOOKUP(B52,'Ressourcenausgleich Basis'!$C$8:$BZ$151,144,FALSE)</f>
        <v>1687400</v>
      </c>
      <c r="D52" s="117">
        <f>HLOOKUP(B52,'SL Weite Basis'!$C$8:$BZ$74,67,FALSE)</f>
        <v>192600</v>
      </c>
      <c r="E52" s="77">
        <f>HLOOKUP(B52,'SL Schule Basis'!$C$8:$BZ$64,57,FALSE)</f>
        <v>736400</v>
      </c>
      <c r="F52" s="35">
        <f>HLOOKUP(B52,'SL Sozio Basis'!$C$8:$BZ$55,48,FALSE)</f>
        <v>0</v>
      </c>
      <c r="G52" s="77">
        <v>0</v>
      </c>
      <c r="H52" s="88">
        <f t="shared" si="1"/>
        <v>2616400</v>
      </c>
      <c r="J52" s="3"/>
    </row>
    <row r="53" spans="1:10" x14ac:dyDescent="0.2">
      <c r="A53" s="69">
        <v>46</v>
      </c>
      <c r="B53" s="85" t="s">
        <v>50</v>
      </c>
      <c r="C53" s="35">
        <f>HLOOKUP(B53,'Ressourcenausgleich Basis'!$C$8:$BZ$151,144,FALSE)</f>
        <v>3022100</v>
      </c>
      <c r="D53" s="117">
        <f>HLOOKUP(B53,'SL Weite Basis'!$C$8:$BZ$74,67,FALSE)</f>
        <v>0</v>
      </c>
      <c r="E53" s="77">
        <f>HLOOKUP(B53,'SL Schule Basis'!$C$8:$BZ$64,57,FALSE)</f>
        <v>395500</v>
      </c>
      <c r="F53" s="35">
        <f>HLOOKUP(B53,'SL Sozio Basis'!$C$8:$BZ$55,48,FALSE)</f>
        <v>78800</v>
      </c>
      <c r="G53" s="77">
        <v>0</v>
      </c>
      <c r="H53" s="88">
        <f t="shared" si="1"/>
        <v>3496400</v>
      </c>
      <c r="J53" s="3"/>
    </row>
    <row r="54" spans="1:10" x14ac:dyDescent="0.2">
      <c r="A54" s="69">
        <v>48</v>
      </c>
      <c r="B54" s="85" t="s">
        <v>51</v>
      </c>
      <c r="C54" s="35">
        <f>HLOOKUP(B54,'Ressourcenausgleich Basis'!$C$8:$BZ$151,144,FALSE)</f>
        <v>0</v>
      </c>
      <c r="D54" s="117">
        <f>HLOOKUP(B54,'SL Weite Basis'!$C$8:$BZ$74,67,FALSE)</f>
        <v>103200</v>
      </c>
      <c r="E54" s="77">
        <f>HLOOKUP(B54,'SL Schule Basis'!$C$8:$BZ$64,57,FALSE)</f>
        <v>0</v>
      </c>
      <c r="F54" s="35">
        <f>HLOOKUP(B54,'SL Sozio Basis'!$C$8:$BZ$55,48,FALSE)</f>
        <v>0</v>
      </c>
      <c r="G54" s="77">
        <v>0</v>
      </c>
      <c r="H54" s="88">
        <f t="shared" si="1"/>
        <v>103200</v>
      </c>
      <c r="J54" s="3"/>
    </row>
    <row r="55" spans="1:10" x14ac:dyDescent="0.2">
      <c r="A55" s="69">
        <v>50</v>
      </c>
      <c r="B55" s="85" t="s">
        <v>52</v>
      </c>
      <c r="C55" s="35">
        <f>HLOOKUP(B55,'Ressourcenausgleich Basis'!$C$8:$BZ$151,144,FALSE)</f>
        <v>1520800</v>
      </c>
      <c r="D55" s="117">
        <f>HLOOKUP(B55,'SL Weite Basis'!$C$8:$BZ$74,67,FALSE)</f>
        <v>0</v>
      </c>
      <c r="E55" s="77">
        <f>HLOOKUP(B55,'SL Schule Basis'!$C$8:$BZ$64,57,FALSE)</f>
        <v>880300</v>
      </c>
      <c r="F55" s="35">
        <f>HLOOKUP(B55,'SL Sozio Basis'!$C$8:$BZ$55,48,FALSE)</f>
        <v>0</v>
      </c>
      <c r="G55" s="77">
        <v>0</v>
      </c>
      <c r="H55" s="88">
        <f t="shared" si="1"/>
        <v>2401100</v>
      </c>
      <c r="J55" s="3"/>
    </row>
    <row r="56" spans="1:10" x14ac:dyDescent="0.2">
      <c r="A56" s="69">
        <v>51</v>
      </c>
      <c r="B56" s="85" t="s">
        <v>53</v>
      </c>
      <c r="C56" s="35">
        <f>HLOOKUP(B56,'Ressourcenausgleich Basis'!$C$8:$BZ$151,144,FALSE)</f>
        <v>0</v>
      </c>
      <c r="D56" s="117">
        <f>HLOOKUP(B56,'SL Weite Basis'!$C$8:$BZ$74,67,FALSE)</f>
        <v>0</v>
      </c>
      <c r="E56" s="77">
        <f>HLOOKUP(B56,'SL Schule Basis'!$C$8:$BZ$64,57,FALSE)</f>
        <v>0</v>
      </c>
      <c r="F56" s="35">
        <f>HLOOKUP(B56,'SL Sozio Basis'!$C$8:$BZ$55,48,FALSE)</f>
        <v>37500</v>
      </c>
      <c r="G56" s="77">
        <v>0</v>
      </c>
      <c r="H56" s="88">
        <f t="shared" si="1"/>
        <v>37500</v>
      </c>
      <c r="J56" s="3"/>
    </row>
    <row r="57" spans="1:10" x14ac:dyDescent="0.2">
      <c r="A57" s="69">
        <v>52</v>
      </c>
      <c r="B57" s="85" t="s">
        <v>54</v>
      </c>
      <c r="C57" s="35">
        <f>HLOOKUP(B57,'Ressourcenausgleich Basis'!$C$8:$BZ$151,144,FALSE)</f>
        <v>0</v>
      </c>
      <c r="D57" s="117">
        <f>HLOOKUP(B57,'SL Weite Basis'!$C$8:$BZ$74,67,FALSE)</f>
        <v>0</v>
      </c>
      <c r="E57" s="77">
        <f>HLOOKUP(B57,'SL Schule Basis'!$C$8:$BZ$64,57,FALSE)</f>
        <v>0</v>
      </c>
      <c r="F57" s="35">
        <f>HLOOKUP(B57,'SL Sozio Basis'!$C$8:$BZ$55,48,FALSE)</f>
        <v>563300</v>
      </c>
      <c r="G57" s="77">
        <v>0</v>
      </c>
      <c r="H57" s="88">
        <f t="shared" si="1"/>
        <v>563300</v>
      </c>
      <c r="J57" s="3"/>
    </row>
    <row r="58" spans="1:10" x14ac:dyDescent="0.2">
      <c r="A58" s="69">
        <v>54</v>
      </c>
      <c r="B58" s="85" t="s">
        <v>55</v>
      </c>
      <c r="C58" s="35">
        <f>HLOOKUP(B58,'Ressourcenausgleich Basis'!$C$8:$BZ$151,144,FALSE)</f>
        <v>1222900</v>
      </c>
      <c r="D58" s="117">
        <f>HLOOKUP(B58,'SL Weite Basis'!$C$8:$BZ$74,67,FALSE)</f>
        <v>1522600</v>
      </c>
      <c r="E58" s="77">
        <f>HLOOKUP(B58,'SL Schule Basis'!$C$8:$BZ$64,57,FALSE)</f>
        <v>810800</v>
      </c>
      <c r="F58" s="35">
        <f>HLOOKUP(B58,'SL Sozio Basis'!$C$8:$BZ$55,48,FALSE)</f>
        <v>0</v>
      </c>
      <c r="G58" s="77">
        <v>0</v>
      </c>
      <c r="H58" s="88">
        <f t="shared" si="1"/>
        <v>3556300</v>
      </c>
      <c r="J58" s="3"/>
    </row>
    <row r="59" spans="1:10" x14ac:dyDescent="0.2">
      <c r="A59" s="69">
        <v>57</v>
      </c>
      <c r="B59" s="85" t="s">
        <v>56</v>
      </c>
      <c r="C59" s="35">
        <f>HLOOKUP(B59,'Ressourcenausgleich Basis'!$C$8:$BZ$151,144,FALSE)</f>
        <v>24200</v>
      </c>
      <c r="D59" s="117">
        <f>HLOOKUP(B59,'SL Weite Basis'!$C$8:$BZ$74,67,FALSE)</f>
        <v>2261000</v>
      </c>
      <c r="E59" s="77">
        <f>HLOOKUP(B59,'SL Schule Basis'!$C$8:$BZ$64,57,FALSE)</f>
        <v>201300</v>
      </c>
      <c r="F59" s="35">
        <f>HLOOKUP(B59,'SL Sozio Basis'!$C$8:$BZ$55,48,FALSE)</f>
        <v>0</v>
      </c>
      <c r="G59" s="77">
        <v>0</v>
      </c>
      <c r="H59" s="88">
        <f t="shared" si="1"/>
        <v>2486500</v>
      </c>
      <c r="J59" s="3"/>
    </row>
    <row r="60" spans="1:10" x14ac:dyDescent="0.2">
      <c r="A60" s="69">
        <v>60</v>
      </c>
      <c r="B60" s="85" t="s">
        <v>57</v>
      </c>
      <c r="C60" s="35">
        <f>HLOOKUP(B60,'Ressourcenausgleich Basis'!$C$8:$BZ$151,144,FALSE)</f>
        <v>3067900</v>
      </c>
      <c r="D60" s="117">
        <f>HLOOKUP(B60,'SL Weite Basis'!$C$8:$BZ$74,67,FALSE)</f>
        <v>2355400</v>
      </c>
      <c r="E60" s="77">
        <f>HLOOKUP(B60,'SL Schule Basis'!$C$8:$BZ$64,57,FALSE)</f>
        <v>0</v>
      </c>
      <c r="F60" s="35">
        <f>HLOOKUP(B60,'SL Sozio Basis'!$C$8:$BZ$55,48,FALSE)</f>
        <v>114800</v>
      </c>
      <c r="G60" s="77">
        <v>0</v>
      </c>
      <c r="H60" s="88">
        <f t="shared" si="1"/>
        <v>5538100</v>
      </c>
      <c r="J60" s="3"/>
    </row>
    <row r="61" spans="1:10" x14ac:dyDescent="0.2">
      <c r="A61" s="69">
        <v>62</v>
      </c>
      <c r="B61" s="85" t="s">
        <v>58</v>
      </c>
      <c r="C61" s="35">
        <f>HLOOKUP(B61,'Ressourcenausgleich Basis'!$C$8:$BZ$151,144,FALSE)</f>
        <v>3636400</v>
      </c>
      <c r="D61" s="117">
        <f>HLOOKUP(B61,'SL Weite Basis'!$C$8:$BZ$74,67,FALSE)</f>
        <v>1442400</v>
      </c>
      <c r="E61" s="77">
        <f>HLOOKUP(B61,'SL Schule Basis'!$C$8:$BZ$64,57,FALSE)</f>
        <v>102300</v>
      </c>
      <c r="F61" s="35">
        <f>HLOOKUP(B61,'SL Sozio Basis'!$C$8:$BZ$55,48,FALSE)</f>
        <v>378600</v>
      </c>
      <c r="G61" s="77">
        <v>0</v>
      </c>
      <c r="H61" s="88">
        <f t="shared" si="1"/>
        <v>5559700</v>
      </c>
      <c r="J61" s="3"/>
    </row>
    <row r="62" spans="1:10" x14ac:dyDescent="0.2">
      <c r="A62" s="69">
        <v>63</v>
      </c>
      <c r="B62" s="85" t="s">
        <v>59</v>
      </c>
      <c r="C62" s="35">
        <f>HLOOKUP(B62,'Ressourcenausgleich Basis'!$C$8:$BZ$151,144,FALSE)</f>
        <v>6559700</v>
      </c>
      <c r="D62" s="117">
        <f>HLOOKUP(B62,'SL Weite Basis'!$C$8:$BZ$74,67,FALSE)</f>
        <v>1205100</v>
      </c>
      <c r="E62" s="77">
        <f>HLOOKUP(B62,'SL Schule Basis'!$C$8:$BZ$64,57,FALSE)</f>
        <v>28400</v>
      </c>
      <c r="F62" s="35">
        <f>HLOOKUP(B62,'SL Sozio Basis'!$C$8:$BZ$55,48,FALSE)</f>
        <v>807000</v>
      </c>
      <c r="G62" s="77">
        <v>0</v>
      </c>
      <c r="H62" s="88">
        <f t="shared" si="1"/>
        <v>8600200</v>
      </c>
      <c r="J62" s="3"/>
    </row>
    <row r="63" spans="1:10" x14ac:dyDescent="0.2">
      <c r="A63" s="69">
        <v>64</v>
      </c>
      <c r="B63" s="85" t="s">
        <v>60</v>
      </c>
      <c r="C63" s="35">
        <f>HLOOKUP(B63,'Ressourcenausgleich Basis'!$C$8:$BZ$151,144,FALSE)</f>
        <v>1100100</v>
      </c>
      <c r="D63" s="117">
        <f>HLOOKUP(B63,'SL Weite Basis'!$C$8:$BZ$74,67,FALSE)</f>
        <v>0</v>
      </c>
      <c r="E63" s="77">
        <f>HLOOKUP(B63,'SL Schule Basis'!$C$8:$BZ$64,57,FALSE)</f>
        <v>0</v>
      </c>
      <c r="F63" s="35">
        <f>HLOOKUP(B63,'SL Sozio Basis'!$C$8:$BZ$55,48,FALSE)</f>
        <v>33300</v>
      </c>
      <c r="G63" s="77">
        <v>0</v>
      </c>
      <c r="H63" s="88">
        <f t="shared" si="1"/>
        <v>1133400</v>
      </c>
      <c r="J63" s="3"/>
    </row>
    <row r="64" spans="1:10" x14ac:dyDescent="0.2">
      <c r="A64" s="69">
        <v>66</v>
      </c>
      <c r="B64" s="85" t="s">
        <v>233</v>
      </c>
      <c r="C64" s="35">
        <f>HLOOKUP(B64,'Ressourcenausgleich Basis'!$C$8:$BZ$151,144,FALSE)</f>
        <v>6782500</v>
      </c>
      <c r="D64" s="117">
        <f>HLOOKUP(B64,'SL Weite Basis'!$C$8:$BZ$74,67,FALSE)</f>
        <v>5015700</v>
      </c>
      <c r="E64" s="77">
        <f>HLOOKUP(B64,'SL Schule Basis'!$C$8:$BZ$64,57,FALSE)</f>
        <v>1429200</v>
      </c>
      <c r="F64" s="35">
        <f>HLOOKUP(B64,'SL Sozio Basis'!$C$8:$BZ$55,48,FALSE)</f>
        <v>0</v>
      </c>
      <c r="G64" s="77">
        <v>0</v>
      </c>
      <c r="H64" s="88">
        <f t="shared" ref="H64" si="2">SUM(C64:G64)</f>
        <v>13227400</v>
      </c>
      <c r="J64" s="3"/>
    </row>
    <row r="65" spans="1:10" x14ac:dyDescent="0.2">
      <c r="A65" s="69">
        <v>70</v>
      </c>
      <c r="B65" s="85" t="s">
        <v>61</v>
      </c>
      <c r="C65" s="35">
        <f>HLOOKUP(B65,'Ressourcenausgleich Basis'!$C$8:$BZ$151,144,FALSE)</f>
        <v>3443300</v>
      </c>
      <c r="D65" s="117">
        <f>HLOOKUP(B65,'SL Weite Basis'!$C$8:$BZ$74,67,FALSE)</f>
        <v>620600</v>
      </c>
      <c r="E65" s="77">
        <f>HLOOKUP(B65,'SL Schule Basis'!$C$8:$BZ$64,57,FALSE)</f>
        <v>623100</v>
      </c>
      <c r="F65" s="35">
        <f>HLOOKUP(B65,'SL Sozio Basis'!$C$8:$BZ$55,48,FALSE)</f>
        <v>0</v>
      </c>
      <c r="G65" s="77">
        <v>0</v>
      </c>
      <c r="H65" s="88">
        <f t="shared" si="1"/>
        <v>4687000</v>
      </c>
      <c r="J65" s="3"/>
    </row>
    <row r="66" spans="1:10" x14ac:dyDescent="0.2">
      <c r="A66" s="69">
        <v>71</v>
      </c>
      <c r="B66" s="85" t="s">
        <v>62</v>
      </c>
      <c r="C66" s="35">
        <f>HLOOKUP(B66,'Ressourcenausgleich Basis'!$C$8:$BZ$151,144,FALSE)</f>
        <v>1272800</v>
      </c>
      <c r="D66" s="117">
        <f>HLOOKUP(B66,'SL Weite Basis'!$C$8:$BZ$74,67,FALSE)</f>
        <v>629200</v>
      </c>
      <c r="E66" s="77">
        <f>HLOOKUP(B66,'SL Schule Basis'!$C$8:$BZ$64,57,FALSE)</f>
        <v>550300</v>
      </c>
      <c r="F66" s="35">
        <f>HLOOKUP(B66,'SL Sozio Basis'!$C$8:$BZ$55,48,FALSE)</f>
        <v>0</v>
      </c>
      <c r="G66" s="77">
        <v>0</v>
      </c>
      <c r="H66" s="88">
        <f t="shared" si="1"/>
        <v>2452300</v>
      </c>
      <c r="J66" s="3"/>
    </row>
    <row r="67" spans="1:10" x14ac:dyDescent="0.2">
      <c r="A67" s="69">
        <v>72</v>
      </c>
      <c r="B67" s="85" t="s">
        <v>63</v>
      </c>
      <c r="C67" s="35">
        <f>HLOOKUP(B67,'Ressourcenausgleich Basis'!$C$8:$BZ$151,144,FALSE)</f>
        <v>3313100</v>
      </c>
      <c r="D67" s="117">
        <f>HLOOKUP(B67,'SL Weite Basis'!$C$8:$BZ$74,67,FALSE)</f>
        <v>1927500</v>
      </c>
      <c r="E67" s="77">
        <f>HLOOKUP(B67,'SL Schule Basis'!$C$8:$BZ$64,57,FALSE)</f>
        <v>1288700</v>
      </c>
      <c r="F67" s="35">
        <f>HLOOKUP(B67,'SL Sozio Basis'!$C$8:$BZ$55,48,FALSE)</f>
        <v>38300</v>
      </c>
      <c r="G67" s="77">
        <v>0</v>
      </c>
      <c r="H67" s="88">
        <f t="shared" si="1"/>
        <v>6567600</v>
      </c>
      <c r="J67" s="3"/>
    </row>
    <row r="68" spans="1:10" x14ac:dyDescent="0.2">
      <c r="A68" s="69">
        <v>73</v>
      </c>
      <c r="B68" s="85" t="s">
        <v>64</v>
      </c>
      <c r="C68" s="35">
        <f>HLOOKUP(B68,'Ressourcenausgleich Basis'!$C$8:$BZ$151,144,FALSE)</f>
        <v>3735000</v>
      </c>
      <c r="D68" s="117">
        <f>HLOOKUP(B68,'SL Weite Basis'!$C$8:$BZ$74,67,FALSE)</f>
        <v>2142800</v>
      </c>
      <c r="E68" s="77">
        <f>HLOOKUP(B68,'SL Schule Basis'!$C$8:$BZ$64,57,FALSE)</f>
        <v>2628000</v>
      </c>
      <c r="F68" s="35">
        <f>HLOOKUP(B68,'SL Sozio Basis'!$C$8:$BZ$55,48,FALSE)</f>
        <v>995500</v>
      </c>
      <c r="G68" s="77">
        <v>0</v>
      </c>
      <c r="H68" s="88">
        <f t="shared" si="1"/>
        <v>9501300</v>
      </c>
      <c r="J68" s="3"/>
    </row>
    <row r="69" spans="1:10" x14ac:dyDescent="0.2">
      <c r="A69" s="69">
        <v>76</v>
      </c>
      <c r="B69" s="85" t="s">
        <v>65</v>
      </c>
      <c r="C69" s="35">
        <f>HLOOKUP(B69,'Ressourcenausgleich Basis'!$C$8:$BZ$151,144,FALSE)</f>
        <v>805700</v>
      </c>
      <c r="D69" s="117">
        <f>HLOOKUP(B69,'SL Weite Basis'!$C$8:$BZ$74,67,FALSE)</f>
        <v>0</v>
      </c>
      <c r="E69" s="77">
        <f>HLOOKUP(B69,'SL Schule Basis'!$C$8:$BZ$64,57,FALSE)</f>
        <v>887800</v>
      </c>
      <c r="F69" s="35">
        <f>HLOOKUP(B69,'SL Sozio Basis'!$C$8:$BZ$55,48,FALSE)</f>
        <v>0</v>
      </c>
      <c r="G69" s="77">
        <v>0</v>
      </c>
      <c r="H69" s="88">
        <f t="shared" si="1"/>
        <v>1693500</v>
      </c>
      <c r="J69" s="3"/>
    </row>
    <row r="70" spans="1:10" x14ac:dyDescent="0.2">
      <c r="A70" s="69">
        <v>77</v>
      </c>
      <c r="B70" s="85" t="s">
        <v>66</v>
      </c>
      <c r="C70" s="35">
        <f>HLOOKUP(B70,'Ressourcenausgleich Basis'!$C$8:$BZ$151,144,FALSE)</f>
        <v>2813700</v>
      </c>
      <c r="D70" s="117">
        <f>HLOOKUP(B70,'SL Weite Basis'!$C$8:$BZ$74,67,FALSE)</f>
        <v>0</v>
      </c>
      <c r="E70" s="77">
        <f>HLOOKUP(B70,'SL Schule Basis'!$C$8:$BZ$64,57,FALSE)</f>
        <v>984100</v>
      </c>
      <c r="F70" s="35">
        <f>HLOOKUP(B70,'SL Sozio Basis'!$C$8:$BZ$55,48,FALSE)</f>
        <v>0</v>
      </c>
      <c r="G70" s="77">
        <v>0</v>
      </c>
      <c r="H70" s="88">
        <f t="shared" ref="H70:H82" si="3">SUM(C70:G70)</f>
        <v>3797800</v>
      </c>
      <c r="J70" s="3"/>
    </row>
    <row r="71" spans="1:10" x14ac:dyDescent="0.2">
      <c r="A71" s="69">
        <v>78</v>
      </c>
      <c r="B71" s="85" t="s">
        <v>67</v>
      </c>
      <c r="C71" s="35">
        <f>HLOOKUP(B71,'Ressourcenausgleich Basis'!$C$8:$BZ$151,144,FALSE)</f>
        <v>7042300</v>
      </c>
      <c r="D71" s="117">
        <f>HLOOKUP(B71,'SL Weite Basis'!$C$8:$BZ$74,67,FALSE)</f>
        <v>0</v>
      </c>
      <c r="E71" s="77">
        <f>HLOOKUP(B71,'SL Schule Basis'!$C$8:$BZ$64,57,FALSE)</f>
        <v>1671300</v>
      </c>
      <c r="F71" s="35">
        <f>HLOOKUP(B71,'SL Sozio Basis'!$C$8:$BZ$55,48,FALSE)</f>
        <v>0</v>
      </c>
      <c r="G71" s="77">
        <v>0</v>
      </c>
      <c r="H71" s="88">
        <f t="shared" si="3"/>
        <v>8713600</v>
      </c>
      <c r="J71" s="3"/>
    </row>
    <row r="72" spans="1:10" x14ac:dyDescent="0.2">
      <c r="A72" s="69">
        <v>79</v>
      </c>
      <c r="B72" s="85" t="s">
        <v>68</v>
      </c>
      <c r="C72" s="35">
        <f>HLOOKUP(B72,'Ressourcenausgleich Basis'!$C$8:$BZ$151,144,FALSE)</f>
        <v>7094200</v>
      </c>
      <c r="D72" s="117">
        <f>HLOOKUP(B72,'SL Weite Basis'!$C$8:$BZ$74,67,FALSE)</f>
        <v>0</v>
      </c>
      <c r="E72" s="77">
        <f>HLOOKUP(B72,'SL Schule Basis'!$C$8:$BZ$64,57,FALSE)</f>
        <v>1047500</v>
      </c>
      <c r="F72" s="35">
        <f>HLOOKUP(B72,'SL Sozio Basis'!$C$8:$BZ$55,48,FALSE)</f>
        <v>777000</v>
      </c>
      <c r="G72" s="77">
        <v>0</v>
      </c>
      <c r="H72" s="88">
        <f t="shared" si="3"/>
        <v>8918700</v>
      </c>
      <c r="J72" s="3"/>
    </row>
    <row r="73" spans="1:10" x14ac:dyDescent="0.2">
      <c r="A73" s="69">
        <v>80</v>
      </c>
      <c r="B73" s="85" t="s">
        <v>69</v>
      </c>
      <c r="C73" s="35">
        <f>HLOOKUP(B73,'Ressourcenausgleich Basis'!$C$8:$BZ$151,144,FALSE)</f>
        <v>2783200</v>
      </c>
      <c r="D73" s="117">
        <f>HLOOKUP(B73,'SL Weite Basis'!$C$8:$BZ$74,67,FALSE)</f>
        <v>852000</v>
      </c>
      <c r="E73" s="77">
        <f>HLOOKUP(B73,'SL Schule Basis'!$C$8:$BZ$64,57,FALSE)</f>
        <v>1242700</v>
      </c>
      <c r="F73" s="35">
        <f>HLOOKUP(B73,'SL Sozio Basis'!$C$8:$BZ$55,48,FALSE)</f>
        <v>281700</v>
      </c>
      <c r="G73" s="77">
        <v>0</v>
      </c>
      <c r="H73" s="88">
        <f t="shared" si="3"/>
        <v>5159600</v>
      </c>
      <c r="J73" s="3"/>
    </row>
    <row r="74" spans="1:10" x14ac:dyDescent="0.2">
      <c r="A74" s="69">
        <v>81</v>
      </c>
      <c r="B74" s="85" t="s">
        <v>70</v>
      </c>
      <c r="C74" s="35">
        <f>HLOOKUP(B74,'Ressourcenausgleich Basis'!$C$8:$BZ$151,144,FALSE)</f>
        <v>0</v>
      </c>
      <c r="D74" s="117">
        <f>HLOOKUP(B74,'SL Weite Basis'!$C$8:$BZ$74,67,FALSE)</f>
        <v>0</v>
      </c>
      <c r="E74" s="77">
        <f>HLOOKUP(B74,'SL Schule Basis'!$C$8:$BZ$64,57,FALSE)</f>
        <v>0</v>
      </c>
      <c r="F74" s="35">
        <f>HLOOKUP(B74,'SL Sozio Basis'!$C$8:$BZ$55,48,FALSE)</f>
        <v>3210200</v>
      </c>
      <c r="G74" s="77">
        <v>0</v>
      </c>
      <c r="H74" s="88">
        <f t="shared" si="3"/>
        <v>3210200</v>
      </c>
      <c r="J74" s="3"/>
    </row>
    <row r="75" spans="1:10" x14ac:dyDescent="0.2">
      <c r="A75" s="69">
        <v>83</v>
      </c>
      <c r="B75" s="85" t="s">
        <v>71</v>
      </c>
      <c r="C75" s="35">
        <f>HLOOKUP(B75,'Ressourcenausgleich Basis'!$C$8:$BZ$151,144,FALSE)</f>
        <v>0</v>
      </c>
      <c r="D75" s="117">
        <f>HLOOKUP(B75,'SL Weite Basis'!$C$8:$BZ$74,67,FALSE)</f>
        <v>0</v>
      </c>
      <c r="E75" s="77">
        <f>HLOOKUP(B75,'SL Schule Basis'!$C$8:$BZ$64,57,FALSE)</f>
        <v>0</v>
      </c>
      <c r="F75" s="35">
        <f>HLOOKUP(B75,'SL Sozio Basis'!$C$8:$BZ$55,48,FALSE)</f>
        <v>0</v>
      </c>
      <c r="G75" s="77">
        <v>0</v>
      </c>
      <c r="H75" s="88">
        <f t="shared" si="3"/>
        <v>0</v>
      </c>
      <c r="J75" s="3"/>
    </row>
    <row r="76" spans="1:10" x14ac:dyDescent="0.2">
      <c r="A76" s="69">
        <v>84</v>
      </c>
      <c r="B76" s="85" t="s">
        <v>72</v>
      </c>
      <c r="C76" s="35">
        <f>HLOOKUP(B76,'Ressourcenausgleich Basis'!$C$8:$BZ$151,144,FALSE)</f>
        <v>0</v>
      </c>
      <c r="D76" s="117">
        <f>HLOOKUP(B76,'SL Weite Basis'!$C$8:$BZ$74,67,FALSE)</f>
        <v>716500</v>
      </c>
      <c r="E76" s="77">
        <f>HLOOKUP(B76,'SL Schule Basis'!$C$8:$BZ$64,57,FALSE)</f>
        <v>242000</v>
      </c>
      <c r="F76" s="35">
        <f>HLOOKUP(B76,'SL Sozio Basis'!$C$8:$BZ$55,48,FALSE)</f>
        <v>0</v>
      </c>
      <c r="G76" s="77">
        <v>0</v>
      </c>
      <c r="H76" s="88">
        <f t="shared" si="3"/>
        <v>958500</v>
      </c>
      <c r="J76" s="3"/>
    </row>
    <row r="77" spans="1:10" x14ac:dyDescent="0.2">
      <c r="A77" s="69">
        <v>85</v>
      </c>
      <c r="B77" s="85" t="s">
        <v>73</v>
      </c>
      <c r="C77" s="35">
        <f>HLOOKUP(B77,'Ressourcenausgleich Basis'!$C$8:$BZ$151,144,FALSE)</f>
        <v>697200</v>
      </c>
      <c r="D77" s="117">
        <f>HLOOKUP(B77,'SL Weite Basis'!$C$8:$BZ$74,67,FALSE)</f>
        <v>539900</v>
      </c>
      <c r="E77" s="77">
        <f>HLOOKUP(B77,'SL Schule Basis'!$C$8:$BZ$64,57,FALSE)</f>
        <v>708000</v>
      </c>
      <c r="F77" s="35">
        <f>HLOOKUP(B77,'SL Sozio Basis'!$C$8:$BZ$55,48,FALSE)</f>
        <v>0</v>
      </c>
      <c r="G77" s="77">
        <v>0</v>
      </c>
      <c r="H77" s="88">
        <f t="shared" si="3"/>
        <v>1945100</v>
      </c>
      <c r="J77" s="3"/>
    </row>
    <row r="78" spans="1:10" x14ac:dyDescent="0.2">
      <c r="A78" s="69">
        <v>86</v>
      </c>
      <c r="B78" s="85" t="s">
        <v>74</v>
      </c>
      <c r="C78" s="35">
        <f>HLOOKUP(B78,'Ressourcenausgleich Basis'!$C$8:$BZ$151,144,FALSE)</f>
        <v>1319400</v>
      </c>
      <c r="D78" s="117">
        <f>HLOOKUP(B78,'SL Weite Basis'!$C$8:$BZ$74,67,FALSE)</f>
        <v>579400</v>
      </c>
      <c r="E78" s="77">
        <f>HLOOKUP(B78,'SL Schule Basis'!$C$8:$BZ$64,57,FALSE)</f>
        <v>1232600</v>
      </c>
      <c r="F78" s="35">
        <f>HLOOKUP(B78,'SL Sozio Basis'!$C$8:$BZ$55,48,FALSE)</f>
        <v>0</v>
      </c>
      <c r="G78" s="77">
        <v>0</v>
      </c>
      <c r="H78" s="88">
        <f t="shared" si="3"/>
        <v>3131400</v>
      </c>
      <c r="J78" s="3"/>
    </row>
    <row r="79" spans="1:10" x14ac:dyDescent="0.2">
      <c r="A79" s="69">
        <v>87</v>
      </c>
      <c r="B79" s="85" t="s">
        <v>75</v>
      </c>
      <c r="C79" s="35">
        <f>HLOOKUP(B79,'Ressourcenausgleich Basis'!$C$8:$BZ$151,144,FALSE)</f>
        <v>0</v>
      </c>
      <c r="D79" s="117">
        <f>HLOOKUP(B79,'SL Weite Basis'!$C$8:$BZ$74,67,FALSE)</f>
        <v>0</v>
      </c>
      <c r="E79" s="77">
        <f>HLOOKUP(B79,'SL Schule Basis'!$C$8:$BZ$64,57,FALSE)</f>
        <v>0</v>
      </c>
      <c r="F79" s="35">
        <f>HLOOKUP(B79,'SL Sozio Basis'!$C$8:$BZ$55,48,FALSE)</f>
        <v>0</v>
      </c>
      <c r="G79" s="77">
        <v>0</v>
      </c>
      <c r="H79" s="88">
        <f t="shared" si="3"/>
        <v>0</v>
      </c>
      <c r="J79" s="3"/>
    </row>
    <row r="80" spans="1:10" x14ac:dyDescent="0.2">
      <c r="A80" s="69">
        <v>88</v>
      </c>
      <c r="B80" s="85" t="s">
        <v>76</v>
      </c>
      <c r="C80" s="35">
        <f>HLOOKUP(B80,'Ressourcenausgleich Basis'!$C$8:$BZ$151,144,FALSE)</f>
        <v>0</v>
      </c>
      <c r="D80" s="117">
        <f>HLOOKUP(B80,'SL Weite Basis'!$C$8:$BZ$74,67,FALSE)</f>
        <v>105100</v>
      </c>
      <c r="E80" s="77">
        <f>HLOOKUP(B80,'SL Schule Basis'!$C$8:$BZ$64,57,FALSE)</f>
        <v>546600</v>
      </c>
      <c r="F80" s="35">
        <f>HLOOKUP(B80,'SL Sozio Basis'!$C$8:$BZ$55,48,FALSE)</f>
        <v>0</v>
      </c>
      <c r="G80" s="77">
        <v>0</v>
      </c>
      <c r="H80" s="88">
        <f t="shared" si="3"/>
        <v>651700</v>
      </c>
      <c r="J80" s="3"/>
    </row>
    <row r="81" spans="1:10" x14ac:dyDescent="0.2">
      <c r="A81" s="69">
        <v>89</v>
      </c>
      <c r="B81" s="85" t="s">
        <v>77</v>
      </c>
      <c r="C81" s="35">
        <f>HLOOKUP(B81,'Ressourcenausgleich Basis'!$C$8:$BZ$151,144,FALSE)</f>
        <v>1218600</v>
      </c>
      <c r="D81" s="117">
        <f>HLOOKUP(B81,'SL Weite Basis'!$C$8:$BZ$74,67,FALSE)</f>
        <v>1846100</v>
      </c>
      <c r="E81" s="77">
        <f>HLOOKUP(B81,'SL Schule Basis'!$C$8:$BZ$64,57,FALSE)</f>
        <v>1750200</v>
      </c>
      <c r="F81" s="35">
        <f>HLOOKUP(B81,'SL Sozio Basis'!$C$8:$BZ$55,48,FALSE)</f>
        <v>138100</v>
      </c>
      <c r="G81" s="77">
        <v>0</v>
      </c>
      <c r="H81" s="88">
        <f t="shared" si="3"/>
        <v>4953000</v>
      </c>
      <c r="J81" s="3"/>
    </row>
    <row r="82" spans="1:10" x14ac:dyDescent="0.2">
      <c r="A82" s="70">
        <v>90</v>
      </c>
      <c r="B82" s="81" t="s">
        <v>78</v>
      </c>
      <c r="C82" s="71">
        <f>HLOOKUP(B82,'Ressourcenausgleich Basis'!$C$8:$BZ$151,144,FALSE)</f>
        <v>0</v>
      </c>
      <c r="D82" s="118">
        <f>HLOOKUP(B82,'SL Weite Basis'!$C$8:$BZ$74,67,FALSE)</f>
        <v>0</v>
      </c>
      <c r="E82" s="78">
        <f>HLOOKUP(B82,'SL Schule Basis'!$C$8:$BZ$64,57,FALSE)</f>
        <v>180700</v>
      </c>
      <c r="F82" s="71">
        <f>HLOOKUP(B82,'SL Sozio Basis'!$C$8:$BZ$55,48,FALSE)</f>
        <v>0</v>
      </c>
      <c r="G82" s="78">
        <v>0</v>
      </c>
      <c r="H82" s="89">
        <f t="shared" si="3"/>
        <v>180700</v>
      </c>
      <c r="J82" s="3"/>
    </row>
    <row r="83" spans="1:10" x14ac:dyDescent="0.2">
      <c r="A83" s="72"/>
      <c r="B83" s="86" t="s">
        <v>79</v>
      </c>
      <c r="C83" s="73">
        <f>SUM(C8:C82)</f>
        <v>114439500</v>
      </c>
      <c r="D83" s="79">
        <f t="shared" ref="D83:H83" si="4">SUM(D8:D82)</f>
        <v>36687900</v>
      </c>
      <c r="E83" s="89">
        <f>SUM(E8:E82)</f>
        <v>31219100</v>
      </c>
      <c r="F83" s="73">
        <f t="shared" si="4"/>
        <v>26851900</v>
      </c>
      <c r="G83" s="79">
        <f t="shared" si="4"/>
        <v>17101300</v>
      </c>
      <c r="H83" s="79">
        <f t="shared" si="4"/>
        <v>226299700</v>
      </c>
      <c r="J83" s="3"/>
    </row>
    <row r="84" spans="1:10" x14ac:dyDescent="0.2">
      <c r="J84" s="3"/>
    </row>
  </sheetData>
  <pageMargins left="0.51181102362204722" right="0.51181102362204722" top="0.39370078740157483" bottom="0.3937007874015748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O132"/>
  <sheetViews>
    <sheetView showGridLines="0" tabSelected="1" workbookViewId="0">
      <selection activeCell="B7" sqref="B7:E7"/>
    </sheetView>
  </sheetViews>
  <sheetFormatPr baseColWidth="10" defaultRowHeight="12.75" x14ac:dyDescent="0.2"/>
  <cols>
    <col min="1" max="1" width="30.140625" customWidth="1"/>
    <col min="2" max="2" width="11.85546875" customWidth="1"/>
    <col min="3" max="3" width="6.7109375" bestFit="1" customWidth="1"/>
    <col min="4" max="4" width="3.42578125" bestFit="1" customWidth="1"/>
    <col min="5" max="5" width="17.140625" customWidth="1"/>
    <col min="6" max="6" width="3.42578125" customWidth="1"/>
    <col min="7" max="7" width="17.140625" customWidth="1"/>
    <col min="8" max="8" width="3.42578125" customWidth="1"/>
    <col min="9" max="9" width="17.140625" customWidth="1"/>
    <col min="10" max="10" width="3.42578125" customWidth="1"/>
    <col min="11" max="11" width="17.140625" customWidth="1"/>
    <col min="12" max="12" width="3.42578125" customWidth="1"/>
    <col min="13" max="13" width="17.140625" customWidth="1"/>
    <col min="14" max="14" width="13.140625" customWidth="1"/>
  </cols>
  <sheetData>
    <row r="1" spans="1:15" x14ac:dyDescent="0.2">
      <c r="A1" s="19" t="s">
        <v>194</v>
      </c>
    </row>
    <row r="2" spans="1:15" x14ac:dyDescent="0.2">
      <c r="A2" t="s">
        <v>195</v>
      </c>
    </row>
    <row r="5" spans="1:15" ht="26.25" x14ac:dyDescent="0.2">
      <c r="A5" s="66" t="s">
        <v>242</v>
      </c>
      <c r="B5" s="58"/>
      <c r="C5" s="58"/>
      <c r="D5" s="57"/>
      <c r="E5" s="56"/>
      <c r="F5" s="56"/>
      <c r="G5" s="56"/>
      <c r="H5" s="56"/>
      <c r="I5" s="56"/>
      <c r="J5" s="56"/>
      <c r="K5" s="56"/>
      <c r="L5" s="56"/>
      <c r="M5" s="56"/>
    </row>
    <row r="6" spans="1:15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5" ht="18" x14ac:dyDescent="0.2">
      <c r="A7" s="57" t="s">
        <v>196</v>
      </c>
      <c r="B7" s="122" t="s">
        <v>202</v>
      </c>
      <c r="C7" s="122"/>
      <c r="D7" s="123"/>
      <c r="E7" s="123"/>
      <c r="F7" s="94"/>
      <c r="G7" s="94"/>
      <c r="H7" s="94"/>
      <c r="I7" s="94"/>
      <c r="J7" s="94"/>
      <c r="K7" s="94"/>
      <c r="L7" s="94"/>
      <c r="M7" s="94"/>
    </row>
    <row r="8" spans="1:15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5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5" ht="15.75" x14ac:dyDescent="0.25">
      <c r="A10" s="95" t="s">
        <v>220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1:15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5" ht="19.5" customHeight="1" x14ac:dyDescent="0.2">
      <c r="A12" s="110" t="s">
        <v>221</v>
      </c>
      <c r="B12" s="111"/>
      <c r="C12" s="111"/>
      <c r="D12" s="110"/>
      <c r="E12" s="112" t="s">
        <v>79</v>
      </c>
      <c r="F12" s="113"/>
      <c r="G12" s="112" t="s">
        <v>222</v>
      </c>
      <c r="H12" s="113"/>
      <c r="I12" s="113" t="s">
        <v>223</v>
      </c>
      <c r="J12" s="114"/>
      <c r="K12" s="113" t="s">
        <v>224</v>
      </c>
      <c r="L12" s="114"/>
      <c r="M12" s="112" t="s">
        <v>225</v>
      </c>
    </row>
    <row r="13" spans="1:15" s="60" customFormat="1" ht="19.5" customHeight="1" x14ac:dyDescent="0.2">
      <c r="A13" s="101" t="s">
        <v>197</v>
      </c>
      <c r="B13" s="102"/>
      <c r="C13" s="115" t="s">
        <v>206</v>
      </c>
      <c r="D13" s="106"/>
      <c r="E13" s="107" t="e">
        <f>VLOOKUP(B7,Total!B7:H83,2,FALSE)</f>
        <v>#N/A</v>
      </c>
      <c r="F13" s="108"/>
      <c r="G13" s="107" t="e">
        <f>ROUND(E13/4,-2)</f>
        <v>#N/A</v>
      </c>
      <c r="H13" s="108"/>
      <c r="I13" s="108" t="e">
        <f>ROUND(E13/4,-2)</f>
        <v>#N/A</v>
      </c>
      <c r="J13" s="109"/>
      <c r="K13" s="108" t="e">
        <f>ROUND(E13/4,-2)</f>
        <v>#N/A</v>
      </c>
      <c r="L13" s="109"/>
      <c r="M13" s="107" t="e">
        <f>E13-G13-I13-K13</f>
        <v>#N/A</v>
      </c>
      <c r="O13" s="67"/>
    </row>
    <row r="14" spans="1:15" s="60" customFormat="1" ht="19.5" customHeight="1" x14ac:dyDescent="0.2">
      <c r="A14" s="101" t="s">
        <v>198</v>
      </c>
      <c r="B14" s="102"/>
      <c r="C14" s="115" t="s">
        <v>206</v>
      </c>
      <c r="D14" s="106"/>
      <c r="E14" s="107" t="e">
        <f>VLOOKUP(B7,Total!B7:H83,3,FALSE)</f>
        <v>#N/A</v>
      </c>
      <c r="F14" s="108"/>
      <c r="G14" s="107" t="e">
        <f t="shared" ref="G14:G17" si="0">ROUND(E14/4,-2)</f>
        <v>#N/A</v>
      </c>
      <c r="H14" s="108"/>
      <c r="I14" s="108" t="e">
        <f t="shared" ref="I14:I17" si="1">ROUND(E14/4,-2)</f>
        <v>#N/A</v>
      </c>
      <c r="J14" s="109"/>
      <c r="K14" s="108" t="e">
        <f t="shared" ref="K14:K17" si="2">ROUND(E14/4,-2)</f>
        <v>#N/A</v>
      </c>
      <c r="L14" s="109"/>
      <c r="M14" s="107" t="e">
        <f t="shared" ref="M14:M17" si="3">E14-G14-I14-K14</f>
        <v>#N/A</v>
      </c>
      <c r="O14" s="67"/>
    </row>
    <row r="15" spans="1:15" s="60" customFormat="1" ht="19.5" customHeight="1" x14ac:dyDescent="0.2">
      <c r="A15" s="101" t="s">
        <v>199</v>
      </c>
      <c r="B15" s="102"/>
      <c r="C15" s="115" t="s">
        <v>206</v>
      </c>
      <c r="D15" s="106"/>
      <c r="E15" s="107" t="e">
        <f>VLOOKUP(B7,Total!B7:H83,4,FALSE)</f>
        <v>#N/A</v>
      </c>
      <c r="F15" s="108"/>
      <c r="G15" s="107" t="e">
        <f t="shared" si="0"/>
        <v>#N/A</v>
      </c>
      <c r="H15" s="108"/>
      <c r="I15" s="108" t="e">
        <f t="shared" si="1"/>
        <v>#N/A</v>
      </c>
      <c r="J15" s="109"/>
      <c r="K15" s="108" t="e">
        <f t="shared" si="2"/>
        <v>#N/A</v>
      </c>
      <c r="L15" s="109"/>
      <c r="M15" s="107" t="e">
        <f t="shared" si="3"/>
        <v>#N/A</v>
      </c>
      <c r="O15" s="67"/>
    </row>
    <row r="16" spans="1:15" s="60" customFormat="1" ht="19.5" customHeight="1" x14ac:dyDescent="0.2">
      <c r="A16" s="101" t="s">
        <v>200</v>
      </c>
      <c r="B16" s="102"/>
      <c r="C16" s="115" t="s">
        <v>206</v>
      </c>
      <c r="D16" s="106"/>
      <c r="E16" s="107" t="e">
        <f>VLOOKUP(B7,Total!B7:H83,5,FALSE)</f>
        <v>#N/A</v>
      </c>
      <c r="F16" s="108"/>
      <c r="G16" s="107" t="e">
        <f t="shared" si="0"/>
        <v>#N/A</v>
      </c>
      <c r="H16" s="108"/>
      <c r="I16" s="108" t="e">
        <f t="shared" si="1"/>
        <v>#N/A</v>
      </c>
      <c r="J16" s="109"/>
      <c r="K16" s="108" t="e">
        <f t="shared" si="2"/>
        <v>#N/A</v>
      </c>
      <c r="L16" s="109"/>
      <c r="M16" s="107" t="e">
        <f t="shared" si="3"/>
        <v>#N/A</v>
      </c>
      <c r="O16" s="67"/>
    </row>
    <row r="17" spans="1:15" s="60" customFormat="1" ht="19.5" customHeight="1" x14ac:dyDescent="0.2">
      <c r="A17" s="101" t="s">
        <v>201</v>
      </c>
      <c r="B17" s="102"/>
      <c r="C17" s="115" t="s">
        <v>206</v>
      </c>
      <c r="D17" s="106"/>
      <c r="E17" s="107" t="e">
        <f>VLOOKUP(B7,Total!B7:H83,6,FALSE)</f>
        <v>#N/A</v>
      </c>
      <c r="F17" s="108"/>
      <c r="G17" s="107" t="e">
        <f t="shared" si="0"/>
        <v>#N/A</v>
      </c>
      <c r="H17" s="108"/>
      <c r="I17" s="108" t="e">
        <f t="shared" si="1"/>
        <v>#N/A</v>
      </c>
      <c r="J17" s="109"/>
      <c r="K17" s="108" t="e">
        <f t="shared" si="2"/>
        <v>#N/A</v>
      </c>
      <c r="L17" s="109"/>
      <c r="M17" s="107" t="e">
        <f t="shared" si="3"/>
        <v>#N/A</v>
      </c>
      <c r="O17" s="67"/>
    </row>
    <row r="18" spans="1:15" s="60" customFormat="1" ht="19.5" customHeight="1" x14ac:dyDescent="0.2">
      <c r="A18" s="103" t="s">
        <v>205</v>
      </c>
      <c r="B18" s="98"/>
      <c r="C18" s="97"/>
      <c r="D18" s="96"/>
      <c r="E18" s="105" t="e">
        <f>VLOOKUP(B7,Total!B7:H83,7,FALSE)</f>
        <v>#N/A</v>
      </c>
      <c r="F18" s="99"/>
      <c r="G18" s="100" t="e">
        <f>SUM(G13:G17)</f>
        <v>#N/A</v>
      </c>
      <c r="H18" s="99"/>
      <c r="I18" s="99" t="e">
        <f>SUM(I13:I17)</f>
        <v>#N/A</v>
      </c>
      <c r="J18" s="104"/>
      <c r="K18" s="99" t="e">
        <f>SUM(K13:K17)</f>
        <v>#N/A</v>
      </c>
      <c r="L18" s="104"/>
      <c r="M18" s="100" t="e">
        <f>SUM(M13:M17)</f>
        <v>#N/A</v>
      </c>
    </row>
    <row r="19" spans="1:15" x14ac:dyDescent="0.2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15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15" ht="15.75" x14ac:dyDescent="0.25">
      <c r="A21" s="95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</row>
    <row r="22" spans="1:15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1:15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5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5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5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5" x14ac:dyDescent="0.2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5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5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</row>
    <row r="30" spans="1:15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  <row r="31" spans="1:15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</row>
    <row r="32" spans="1:15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</row>
    <row r="33" spans="1:13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</row>
    <row r="34" spans="1:13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13" x14ac:dyDescent="0.2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</row>
    <row r="36" spans="1:13" x14ac:dyDescent="0.2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  <row r="37" spans="1:13" x14ac:dyDescent="0.2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</row>
    <row r="38" spans="1:13" x14ac:dyDescent="0.2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  <row r="39" spans="1:13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</row>
    <row r="40" spans="1:13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</row>
    <row r="41" spans="1:13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</row>
    <row r="42" spans="1:13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</row>
    <row r="43" spans="1:13" hidden="1" x14ac:dyDescent="0.2">
      <c r="A43" s="59" t="s">
        <v>202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</row>
    <row r="44" spans="1:13" hidden="1" x14ac:dyDescent="0.2">
      <c r="A44" s="59" t="s">
        <v>28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</row>
    <row r="45" spans="1:13" hidden="1" x14ac:dyDescent="0.2">
      <c r="A45" s="59" t="s">
        <v>46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3" hidden="1" x14ac:dyDescent="0.2">
      <c r="A46" s="59" t="s">
        <v>76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</row>
    <row r="47" spans="1:13" hidden="1" x14ac:dyDescent="0.2">
      <c r="A47" s="59" t="s">
        <v>21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</row>
    <row r="48" spans="1:13" hidden="1" x14ac:dyDescent="0.2">
      <c r="A48" s="59" t="s">
        <v>40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</row>
    <row r="49" spans="1:13" hidden="1" x14ac:dyDescent="0.2">
      <c r="A49" s="59" t="s">
        <v>23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1:13" hidden="1" x14ac:dyDescent="0.2">
      <c r="A50" s="59" t="s">
        <v>49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1:13" hidden="1" x14ac:dyDescent="0.2">
      <c r="A51" s="59" t="s">
        <v>12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</row>
    <row r="52" spans="1:13" hidden="1" x14ac:dyDescent="0.2">
      <c r="A52" s="59" t="s">
        <v>22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</row>
    <row r="53" spans="1:13" hidden="1" x14ac:dyDescent="0.2">
      <c r="A53" s="59" t="s">
        <v>35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</row>
    <row r="54" spans="1:13" hidden="1" x14ac:dyDescent="0.2">
      <c r="A54" s="59" t="s">
        <v>61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</row>
    <row r="55" spans="1:13" hidden="1" x14ac:dyDescent="0.2">
      <c r="A55" s="59" t="s">
        <v>69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</row>
    <row r="56" spans="1:13" hidden="1" x14ac:dyDescent="0.2">
      <c r="A56" s="59" t="s">
        <v>24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</row>
    <row r="57" spans="1:13" hidden="1" x14ac:dyDescent="0.2">
      <c r="A57" s="59" t="s">
        <v>58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</row>
    <row r="58" spans="1:13" hidden="1" x14ac:dyDescent="0.2">
      <c r="A58" s="59" t="s">
        <v>15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  <row r="59" spans="1:13" hidden="1" x14ac:dyDescent="0.2">
      <c r="A59" s="59" t="s">
        <v>29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</row>
    <row r="60" spans="1:13" hidden="1" x14ac:dyDescent="0.2">
      <c r="A60" s="59" t="s">
        <v>55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</row>
    <row r="61" spans="1:13" hidden="1" x14ac:dyDescent="0.2">
      <c r="A61" s="59" t="s">
        <v>68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</row>
    <row r="62" spans="1:13" hidden="1" x14ac:dyDescent="0.2">
      <c r="A62" s="59" t="s">
        <v>43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</row>
    <row r="63" spans="1:13" hidden="1" x14ac:dyDescent="0.2">
      <c r="A63" s="59" t="s">
        <v>78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</row>
    <row r="64" spans="1:13" hidden="1" x14ac:dyDescent="0.2">
      <c r="A64" s="59" t="s">
        <v>33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</row>
    <row r="65" spans="1:13" hidden="1" x14ac:dyDescent="0.2">
      <c r="A65" s="59" t="s">
        <v>10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</row>
    <row r="66" spans="1:13" hidden="1" x14ac:dyDescent="0.2">
      <c r="A66" s="59" t="s">
        <v>51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</row>
    <row r="67" spans="1:13" hidden="1" x14ac:dyDescent="0.2">
      <c r="A67" s="59" t="s">
        <v>75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</row>
    <row r="68" spans="1:13" hidden="1" x14ac:dyDescent="0.2">
      <c r="A68" s="59" t="s">
        <v>34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</row>
    <row r="69" spans="1:13" hidden="1" x14ac:dyDescent="0.2">
      <c r="A69" s="59" t="s">
        <v>7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</row>
    <row r="70" spans="1:13" hidden="1" x14ac:dyDescent="0.2">
      <c r="A70" s="59" t="s">
        <v>65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</row>
    <row r="71" spans="1:13" hidden="1" x14ac:dyDescent="0.2">
      <c r="A71" s="59" t="s">
        <v>50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</row>
    <row r="72" spans="1:13" hidden="1" x14ac:dyDescent="0.2">
      <c r="A72" s="59" t="s">
        <v>64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</row>
    <row r="73" spans="1:13" hidden="1" x14ac:dyDescent="0.2">
      <c r="A73" s="59" t="s">
        <v>60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</row>
    <row r="74" spans="1:13" hidden="1" x14ac:dyDescent="0.2">
      <c r="A74" s="59" t="s">
        <v>62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</row>
    <row r="75" spans="1:13" hidden="1" x14ac:dyDescent="0.2">
      <c r="A75" s="59" t="s">
        <v>27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</row>
    <row r="76" spans="1:13" hidden="1" x14ac:dyDescent="0.2">
      <c r="A76" s="59" t="s">
        <v>42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</row>
    <row r="77" spans="1:13" hidden="1" x14ac:dyDescent="0.2">
      <c r="A77" s="59" t="s">
        <v>9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</row>
    <row r="78" spans="1:13" hidden="1" x14ac:dyDescent="0.2">
      <c r="A78" s="59" t="s">
        <v>63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</row>
    <row r="79" spans="1:13" hidden="1" x14ac:dyDescent="0.2">
      <c r="A79" s="59" t="s">
        <v>8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</row>
    <row r="80" spans="1:13" hidden="1" x14ac:dyDescent="0.2">
      <c r="A80" s="59" t="s">
        <v>233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</row>
    <row r="81" spans="1:13" hidden="1" x14ac:dyDescent="0.2">
      <c r="A81" s="59" t="s">
        <v>57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</row>
    <row r="82" spans="1:13" hidden="1" x14ac:dyDescent="0.2">
      <c r="A82" s="59" t="s">
        <v>73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</row>
    <row r="83" spans="1:13" hidden="1" x14ac:dyDescent="0.2">
      <c r="A83" s="59" t="s">
        <v>74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</row>
    <row r="84" spans="1:13" hidden="1" x14ac:dyDescent="0.2">
      <c r="A84" s="59" t="s">
        <v>72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1:13" hidden="1" x14ac:dyDescent="0.2">
      <c r="A85" s="59" t="s">
        <v>30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</row>
    <row r="86" spans="1:13" hidden="1" x14ac:dyDescent="0.2">
      <c r="A86" s="59" t="s">
        <v>66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</row>
    <row r="87" spans="1:13" hidden="1" x14ac:dyDescent="0.2">
      <c r="A87" s="59" t="s">
        <v>41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</row>
    <row r="88" spans="1:13" hidden="1" x14ac:dyDescent="0.2">
      <c r="A88" s="59" t="s">
        <v>45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</row>
    <row r="89" spans="1:13" hidden="1" x14ac:dyDescent="0.2">
      <c r="A89" s="59" t="s">
        <v>54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</row>
    <row r="90" spans="1:13" hidden="1" x14ac:dyDescent="0.2">
      <c r="A90" s="59" t="s">
        <v>26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</row>
    <row r="91" spans="1:13" hidden="1" x14ac:dyDescent="0.2">
      <c r="A91" s="59" t="s">
        <v>19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</row>
    <row r="92" spans="1:13" hidden="1" x14ac:dyDescent="0.2">
      <c r="A92" s="59" t="s">
        <v>17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</row>
    <row r="93" spans="1:13" hidden="1" x14ac:dyDescent="0.2">
      <c r="A93" s="59" t="s">
        <v>16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</row>
    <row r="94" spans="1:13" hidden="1" x14ac:dyDescent="0.2">
      <c r="A94" s="59" t="s">
        <v>31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</row>
    <row r="95" spans="1:13" hidden="1" x14ac:dyDescent="0.2">
      <c r="A95" s="59" t="s">
        <v>38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</row>
    <row r="96" spans="1:13" hidden="1" x14ac:dyDescent="0.2">
      <c r="A96" s="59" t="s">
        <v>48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</row>
    <row r="97" spans="1:13" hidden="1" x14ac:dyDescent="0.2">
      <c r="A97" s="59" t="s">
        <v>53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</row>
    <row r="98" spans="1:13" hidden="1" x14ac:dyDescent="0.2">
      <c r="A98" s="59" t="s">
        <v>32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</row>
    <row r="99" spans="1:13" hidden="1" x14ac:dyDescent="0.2">
      <c r="A99" s="59" t="s">
        <v>36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</row>
    <row r="100" spans="1:13" hidden="1" x14ac:dyDescent="0.2">
      <c r="A100" s="59" t="s">
        <v>5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</row>
    <row r="101" spans="1:13" hidden="1" x14ac:dyDescent="0.2">
      <c r="A101" s="59" t="s">
        <v>20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</row>
    <row r="102" spans="1:13" hidden="1" x14ac:dyDescent="0.2">
      <c r="A102" s="59" t="s">
        <v>11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</row>
    <row r="103" spans="1:13" hidden="1" x14ac:dyDescent="0.2">
      <c r="A103" s="59" t="s">
        <v>18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</row>
    <row r="104" spans="1:13" hidden="1" x14ac:dyDescent="0.2">
      <c r="A104" s="59" t="s">
        <v>13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</row>
    <row r="105" spans="1:13" hidden="1" x14ac:dyDescent="0.2">
      <c r="A105" s="59" t="s">
        <v>14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</row>
    <row r="106" spans="1:13" hidden="1" x14ac:dyDescent="0.2">
      <c r="A106" s="59" t="s">
        <v>52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</row>
    <row r="107" spans="1:13" hidden="1" x14ac:dyDescent="0.2">
      <c r="A107" s="59" t="s">
        <v>67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</row>
    <row r="108" spans="1:13" hidden="1" x14ac:dyDescent="0.2">
      <c r="A108" s="59" t="s">
        <v>39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</row>
    <row r="109" spans="1:13" hidden="1" x14ac:dyDescent="0.2">
      <c r="A109" s="59" t="s">
        <v>77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</row>
    <row r="110" spans="1:13" hidden="1" x14ac:dyDescent="0.2">
      <c r="A110" s="59" t="s">
        <v>44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</row>
    <row r="111" spans="1:13" hidden="1" x14ac:dyDescent="0.2">
      <c r="A111" s="59" t="s">
        <v>37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</row>
    <row r="112" spans="1:13" hidden="1" x14ac:dyDescent="0.2">
      <c r="A112" s="59" t="s">
        <v>59</v>
      </c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</row>
    <row r="113" spans="1:13" hidden="1" x14ac:dyDescent="0.2">
      <c r="A113" s="59" t="s">
        <v>47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</row>
    <row r="114" spans="1:13" hidden="1" x14ac:dyDescent="0.2">
      <c r="A114" s="59" t="s">
        <v>25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</row>
    <row r="115" spans="1:13" hidden="1" x14ac:dyDescent="0.2">
      <c r="A115" s="59" t="s">
        <v>70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</row>
    <row r="116" spans="1:13" hidden="1" x14ac:dyDescent="0.2">
      <c r="A116" s="59" t="s">
        <v>56</v>
      </c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</row>
    <row r="117" spans="1:13" hidden="1" x14ac:dyDescent="0.2">
      <c r="A117" s="59" t="s">
        <v>6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</row>
    <row r="118" spans="1:13" hidden="1" x14ac:dyDescent="0.2">
      <c r="A118" s="59" t="s">
        <v>71</v>
      </c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</row>
    <row r="119" spans="1:13" x14ac:dyDescent="0.2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</row>
    <row r="120" spans="1:13" x14ac:dyDescent="0.2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</row>
    <row r="121" spans="1:13" x14ac:dyDescent="0.2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</row>
    <row r="122" spans="1:13" x14ac:dyDescent="0.2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</row>
    <row r="123" spans="1:13" x14ac:dyDescent="0.2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</row>
    <row r="124" spans="1:13" x14ac:dyDescent="0.2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</row>
    <row r="125" spans="1:13" x14ac:dyDescent="0.2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</row>
    <row r="126" spans="1:13" x14ac:dyDescent="0.2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</row>
    <row r="127" spans="1:13" x14ac:dyDescent="0.2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</row>
    <row r="128" spans="1:13" x14ac:dyDescent="0.2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</row>
    <row r="129" spans="1:13" x14ac:dyDescent="0.2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</row>
    <row r="130" spans="1:13" x14ac:dyDescent="0.2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</row>
    <row r="131" spans="1:13" x14ac:dyDescent="0.2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</row>
    <row r="132" spans="1:13" x14ac:dyDescent="0.2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</row>
  </sheetData>
  <sheetProtection sheet="1" selectLockedCells="1"/>
  <mergeCells count="1">
    <mergeCell ref="B7:E7"/>
  </mergeCells>
  <dataValidations count="1">
    <dataValidation type="list" allowBlank="1" showInputMessage="1" showErrorMessage="1" sqref="B7:C7" xr:uid="{00000000-0002-0000-0B00-000000000000}">
      <formula1>$A$43:$A$118</formula1>
    </dataValidation>
  </dataValidations>
  <hyperlinks>
    <hyperlink ref="C13" location="'Details Ressourcenausgleich'!A1" display="Details" xr:uid="{00000000-0004-0000-0B00-000000000000}"/>
    <hyperlink ref="C14" location="'Details SL Weite'!A1" display="Details" xr:uid="{00000000-0004-0000-0B00-000001000000}"/>
    <hyperlink ref="C16" location="'Details SL Sozio'!A1" display="Details" xr:uid="{00000000-0004-0000-0B00-000002000000}"/>
    <hyperlink ref="C17" location="'Details SL Stadt SG'!A1" display="Details" xr:uid="{00000000-0004-0000-0B00-000003000000}"/>
    <hyperlink ref="C15" location="'Details SL Schule'!A1" display="Details" xr:uid="{00000000-0004-0000-0B00-000004000000}"/>
  </hyperlinks>
  <pageMargins left="0.31496062992125984" right="0.31496062992125984" top="0.59055118110236227" bottom="0.59055118110236227" header="0.31496062992125984" footer="0.31496062992125984"/>
  <pageSetup paperSize="9" scale="90" orientation="landscape" r:id="rId1"/>
  <headerFooter>
    <oddFooter>&amp;C&amp;P von &amp;N&amp;R&amp;D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D152"/>
  <sheetViews>
    <sheetView showGridLines="0" workbookViewId="0">
      <selection activeCell="A169" sqref="A169"/>
    </sheetView>
  </sheetViews>
  <sheetFormatPr baseColWidth="10" defaultRowHeight="12.75" x14ac:dyDescent="0.2"/>
  <cols>
    <col min="1" max="1" width="4.140625" bestFit="1" customWidth="1"/>
    <col min="2" max="2" width="41.5703125" customWidth="1"/>
    <col min="3" max="3" width="22.42578125" customWidth="1"/>
    <col min="4" max="4" width="22.42578125" bestFit="1" customWidth="1"/>
  </cols>
  <sheetData>
    <row r="1" spans="1:4" x14ac:dyDescent="0.2">
      <c r="A1" s="19" t="s">
        <v>194</v>
      </c>
    </row>
    <row r="2" spans="1:4" x14ac:dyDescent="0.2">
      <c r="A2" t="s">
        <v>195</v>
      </c>
    </row>
    <row r="5" spans="1:4" ht="26.25" x14ac:dyDescent="0.4">
      <c r="A5" s="16" t="s">
        <v>229</v>
      </c>
    </row>
    <row r="7" spans="1:4" x14ac:dyDescent="0.2">
      <c r="B7" s="18" t="s">
        <v>203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'Ressourcenausgleich Basis'!B10</f>
        <v>Steuerdaten 2022</v>
      </c>
      <c r="C11" s="21"/>
      <c r="D11" s="5"/>
    </row>
    <row r="12" spans="1:4" x14ac:dyDescent="0.2">
      <c r="B12" s="22"/>
      <c r="C12" s="22"/>
    </row>
    <row r="13" spans="1:4" x14ac:dyDescent="0.2">
      <c r="A13" s="23" t="s">
        <v>147</v>
      </c>
      <c r="B13" s="24" t="str">
        <f>'Ressourcenausgleich Basis'!B12</f>
        <v>Einkommens-/Vermögenssteuer</v>
      </c>
      <c r="C13" s="25"/>
      <c r="D13" s="25"/>
    </row>
    <row r="14" spans="1:4" x14ac:dyDescent="0.2">
      <c r="B14" s="26" t="str">
        <f>'Ressourcenausgleich Basis'!B13</f>
        <v>Steuerfuss</v>
      </c>
      <c r="C14" s="63">
        <f>HLOOKUP(C$9,'Ressourcenausgleich Basis'!$C$8:$BZ$151,6,FALSE)</f>
        <v>1.124303944208243</v>
      </c>
      <c r="D14" s="65" t="e">
        <f>HLOOKUP(D$9,'Ressourcenausgleich Basis'!$C$8:$BZ$151,6,FALSE)</f>
        <v>#N/A</v>
      </c>
    </row>
    <row r="15" spans="1:4" x14ac:dyDescent="0.2">
      <c r="B15" s="28"/>
      <c r="C15" s="27"/>
      <c r="D15" s="27"/>
    </row>
    <row r="16" spans="1:4" x14ac:dyDescent="0.2">
      <c r="B16" t="str">
        <f>'Ressourcenausgleich Basis'!B15</f>
        <v>Einfache Steuer Brutto</v>
      </c>
      <c r="C16" s="54">
        <f>HLOOKUP(C$9,'Ressourcenausgleich Basis'!$C$8:$BZ$151,8,FALSE)</f>
        <v>1190254487.4200001</v>
      </c>
      <c r="D16" s="61" t="e">
        <f>HLOOKUP(D$9,'Ressourcenausgleich Basis'!$C$8:$BZ$151,8,FALSE)</f>
        <v>#N/A</v>
      </c>
    </row>
    <row r="17" spans="1:4" x14ac:dyDescent="0.2">
      <c r="B17" t="str">
        <f>'Ressourcenausgleich Basis'!B16</f>
        <v>Abschreibungen</v>
      </c>
      <c r="C17" s="54">
        <f>HLOOKUP(C$9,'Ressourcenausgleich Basis'!$C$8:$BZ$151,9,FALSE)</f>
        <v>4194886.3565831576</v>
      </c>
      <c r="D17" s="61" t="e">
        <f>HLOOKUP(D$9,'Ressourcenausgleich Basis'!$C$8:$BZ$151,9,FALSE)</f>
        <v>#N/A</v>
      </c>
    </row>
    <row r="18" spans="1:4" x14ac:dyDescent="0.2">
      <c r="B18" t="str">
        <f>'Ressourcenausgleich Basis'!B17</f>
        <v>Einfache Steuer Netto</v>
      </c>
      <c r="C18" s="54">
        <f>HLOOKUP(C$9,'Ressourcenausgleich Basis'!$C$8:$BZ$151,10,FALSE)</f>
        <v>1186059601.063417</v>
      </c>
      <c r="D18" s="54" t="e">
        <f>HLOOKUP(D$9,'Ressourcenausgleich Basis'!$C$8:$BZ$151,10,FALSE)</f>
        <v>#N/A</v>
      </c>
    </row>
    <row r="19" spans="1:4" x14ac:dyDescent="0.2">
      <c r="C19" s="27"/>
      <c r="D19" s="27"/>
    </row>
    <row r="20" spans="1:4" x14ac:dyDescent="0.2">
      <c r="B20" t="str">
        <f>'Ressourcenausgleich Basis'!B19</f>
        <v>Effektiver Nettoertrag</v>
      </c>
      <c r="C20" s="3">
        <f>HLOOKUP(C$9,'Ressourcenausgleich Basis'!$C$8:$BZ$151,12,FALSE)</f>
        <v>1333491487.5416548</v>
      </c>
      <c r="D20" s="10" t="e">
        <f>HLOOKUP($D$9,'Ressourcenausgleich Basis'!$C$8:$BZ$151,12,FALSE)</f>
        <v>#N/A</v>
      </c>
    </row>
    <row r="22" spans="1:4" x14ac:dyDescent="0.2">
      <c r="A22" s="19"/>
      <c r="B22" s="19" t="str">
        <f>'Ressourcenausgleich Basis'!B21</f>
        <v>Standardisierter Ertrag</v>
      </c>
      <c r="C22" s="13">
        <f>HLOOKUP(C$9,'Ressourcenausgleich Basis'!$C$8:$BZ$151,14,FALSE)</f>
        <v>1333491487.5416548</v>
      </c>
      <c r="D22" s="13" t="e">
        <f>HLOOKUP($D$9,'Ressourcenausgleich Basis'!$C$8:$BZ$151,14,FALSE)</f>
        <v>#N/A</v>
      </c>
    </row>
    <row r="24" spans="1:4" x14ac:dyDescent="0.2">
      <c r="A24" s="23" t="s">
        <v>148</v>
      </c>
      <c r="B24" s="24" t="str">
        <f>'Ressourcenausgleich Basis'!B23</f>
        <v>Quellensteuer</v>
      </c>
      <c r="C24" s="23"/>
      <c r="D24" s="23"/>
    </row>
    <row r="25" spans="1:4" x14ac:dyDescent="0.2">
      <c r="B25" t="str">
        <f>'Ressourcenausgleich Basis'!B24</f>
        <v>Bruttoertrag</v>
      </c>
      <c r="C25" s="1">
        <f>HLOOKUP(C$9,'Ressourcenausgleich Basis'!$C$8:$BZ$151,17,FALSE)</f>
        <v>71317458.850000024</v>
      </c>
      <c r="D25" s="7" t="e">
        <f>HLOOKUP(D$9,'Ressourcenausgleich Basis'!$C$8:$BZ$151,17,FALSE)</f>
        <v>#N/A</v>
      </c>
    </row>
    <row r="26" spans="1:4" x14ac:dyDescent="0.2">
      <c r="B26" t="str">
        <f>'Ressourcenausgleich Basis'!B25</f>
        <v>Abschreibungen</v>
      </c>
      <c r="C26" s="1">
        <f>HLOOKUP(C$9,'Ressourcenausgleich Basis'!$C$8:$BZ$151,18,FALSE)</f>
        <v>761087.46000000008</v>
      </c>
      <c r="D26" s="7" t="e">
        <f>HLOOKUP(D$9,'Ressourcenausgleich Basis'!$C$8:$BZ$151,18,FALSE)</f>
        <v>#N/A</v>
      </c>
    </row>
    <row r="27" spans="1:4" x14ac:dyDescent="0.2">
      <c r="A27" s="19"/>
      <c r="B27" s="19" t="str">
        <f>'Ressourcenausgleich Basis'!B26</f>
        <v>Nettoertrag (standardisierter Ertrag)</v>
      </c>
      <c r="C27" s="13">
        <f>HLOOKUP(C$9,'Ressourcenausgleich Basis'!$C$8:$BZ$151,19,FALSE)</f>
        <v>70556371.389999971</v>
      </c>
      <c r="D27" s="13" t="e">
        <f>HLOOKUP(D$9,'Ressourcenausgleich Basis'!$C$8:$BZ$151,19,FALSE)</f>
        <v>#N/A</v>
      </c>
    </row>
    <row r="29" spans="1:4" x14ac:dyDescent="0.2">
      <c r="A29" s="23" t="s">
        <v>149</v>
      </c>
      <c r="B29" s="24" t="str">
        <f>'Ressourcenausgleich Basis'!B28</f>
        <v>Gewinn- und Kapitalsteuer</v>
      </c>
      <c r="C29" s="23"/>
      <c r="D29" s="23"/>
    </row>
    <row r="30" spans="1:4" x14ac:dyDescent="0.2">
      <c r="B30" t="str">
        <f>'Ressourcenausgleich Basis'!B29</f>
        <v>Bruttoertrag</v>
      </c>
      <c r="C30" s="1">
        <f>HLOOKUP(C$9,'Ressourcenausgleich Basis'!$C$8:$BZ$151,22,FALSE)</f>
        <v>196717901.09999996</v>
      </c>
      <c r="D30" s="7" t="e">
        <f>HLOOKUP(D$9,'Ressourcenausgleich Basis'!$C$8:$BZ$151,22,FALSE)</f>
        <v>#N/A</v>
      </c>
    </row>
    <row r="31" spans="1:4" x14ac:dyDescent="0.2">
      <c r="B31" t="str">
        <f>'Ressourcenausgleich Basis'!B30</f>
        <v>Abschreibungen</v>
      </c>
      <c r="C31" s="1">
        <f>HLOOKUP(C$9,'Ressourcenausgleich Basis'!$C$8:$BZ$151,23,FALSE)</f>
        <v>1744133.4500000009</v>
      </c>
      <c r="D31" s="7" t="e">
        <f>HLOOKUP(D$9,'Ressourcenausgleich Basis'!$C$8:$BZ$151,23,FALSE)</f>
        <v>#N/A</v>
      </c>
    </row>
    <row r="32" spans="1:4" x14ac:dyDescent="0.2">
      <c r="B32" t="str">
        <f>'Ressourcenausgleich Basis'!B31</f>
        <v>pauschale Steueranrechnung</v>
      </c>
      <c r="C32" s="1">
        <f>HLOOKUP(C$9,'Ressourcenausgleich Basis'!$C$8:$BZ$151,24,FALSE)</f>
        <v>276894.84999999998</v>
      </c>
      <c r="D32" s="7" t="e">
        <f>HLOOKUP(D$9,'Ressourcenausgleich Basis'!$C$8:$BZ$151,24,FALSE)</f>
        <v>#N/A</v>
      </c>
    </row>
    <row r="33" spans="1:4" x14ac:dyDescent="0.2">
      <c r="A33" s="19"/>
      <c r="B33" s="19" t="str">
        <f>'Ressourcenausgleich Basis'!B32</f>
        <v>Nettoertrag (standardisierter Ertrag)</v>
      </c>
      <c r="C33" s="13">
        <f>HLOOKUP(C$9,'Ressourcenausgleich Basis'!$C$8:$BZ$151,25,FALSE)</f>
        <v>194696872.80000001</v>
      </c>
      <c r="D33" s="13" t="e">
        <f>HLOOKUP(D$9,'Ressourcenausgleich Basis'!$C$8:$BZ$151,25,FALSE)</f>
        <v>#N/A</v>
      </c>
    </row>
    <row r="35" spans="1:4" x14ac:dyDescent="0.2">
      <c r="A35" s="23" t="s">
        <v>150</v>
      </c>
      <c r="B35" s="24" t="str">
        <f>'Ressourcenausgleich Basis'!B34</f>
        <v>Grundsteuer (ord. Satz)</v>
      </c>
      <c r="C35" s="23"/>
      <c r="D35" s="23"/>
    </row>
    <row r="36" spans="1:4" x14ac:dyDescent="0.2">
      <c r="B36" t="str">
        <f>'Ressourcenausgleich Basis'!B35</f>
        <v>Steuersatz in ‰</v>
      </c>
      <c r="C36" s="1">
        <f>HLOOKUP(C$9,'Ressourcenausgleich Basis'!$C$8:$BZ$151,28,FALSE)</f>
        <v>0.69112917250316652</v>
      </c>
      <c r="D36" s="7" t="e">
        <f>HLOOKUP(D$9,'Ressourcenausgleich Basis'!$C$8:$BZ$151,28,FALSE)</f>
        <v>#N/A</v>
      </c>
    </row>
    <row r="37" spans="1:4" x14ac:dyDescent="0.2">
      <c r="B37" s="30"/>
    </row>
    <row r="38" spans="1:4" x14ac:dyDescent="0.2">
      <c r="B38" t="str">
        <f>'Ressourcenausgleich Basis'!B37</f>
        <v>Bruttoertrag</v>
      </c>
      <c r="C38" s="1">
        <f>HLOOKUP(C$9,'Ressourcenausgleich Basis'!$C$8:$BZ$151,30,FALSE)</f>
        <v>100266326.14</v>
      </c>
      <c r="D38" s="7" t="e">
        <f>HLOOKUP(D$9,'Ressourcenausgleich Basis'!$C$8:$BZ$151,30,FALSE)</f>
        <v>#N/A</v>
      </c>
    </row>
    <row r="39" spans="1:4" x14ac:dyDescent="0.2">
      <c r="B39" t="str">
        <f>'Ressourcenausgleich Basis'!B38</f>
        <v>Erlasse/Verluste</v>
      </c>
      <c r="C39" s="1">
        <f>HLOOKUP(C$9,'Ressourcenausgleich Basis'!$C$8:$BZ$151,31,FALSE)</f>
        <v>16646.189999999995</v>
      </c>
      <c r="D39" s="7" t="e">
        <f>HLOOKUP(D$9,'Ressourcenausgleich Basis'!$C$8:$BZ$151,31,FALSE)</f>
        <v>#N/A</v>
      </c>
    </row>
    <row r="40" spans="1:4" x14ac:dyDescent="0.2">
      <c r="B40" t="str">
        <f>'Ressourcenausgleich Basis'!B39</f>
        <v>Nettoertrag</v>
      </c>
      <c r="C40" s="3">
        <f>HLOOKUP(C$9,'Ressourcenausgleich Basis'!$C$8:$BZ$151,32,FALSE)</f>
        <v>100249679.95000003</v>
      </c>
      <c r="D40" s="3" t="e">
        <f>HLOOKUP(D$9,'Ressourcenausgleich Basis'!$C$8:$BZ$151,32,FALSE)</f>
        <v>#N/A</v>
      </c>
    </row>
    <row r="42" spans="1:4" x14ac:dyDescent="0.2">
      <c r="B42" t="str">
        <f>'Ressourcenausgleich Basis'!B41</f>
        <v>Ertrag bei Satz von 1‰</v>
      </c>
      <c r="C42" s="3">
        <f>HLOOKUP(C$9,'Ressourcenausgleich Basis'!$C$8:$BZ$151,34,FALSE)</f>
        <v>145052016.23440474</v>
      </c>
      <c r="D42" s="3" t="e">
        <f>HLOOKUP(D$9,'Ressourcenausgleich Basis'!$C$8:$BZ$151,34,FALSE)</f>
        <v>#N/A</v>
      </c>
    </row>
    <row r="44" spans="1:4" x14ac:dyDescent="0.2">
      <c r="B44" s="19" t="str">
        <f>'Ressourcenausgleich Basis'!B43</f>
        <v>Standardisierter Ertrag</v>
      </c>
      <c r="C44" s="13">
        <f>HLOOKUP(C$9,'Ressourcenausgleich Basis'!$C$8:$BZ$151,36,FALSE)</f>
        <v>100249679.95000003</v>
      </c>
      <c r="D44" s="13" t="e">
        <f>HLOOKUP(D$9,'Ressourcenausgleich Basis'!$C$8:$BZ$151,36,FALSE)</f>
        <v>#N/A</v>
      </c>
    </row>
    <row r="46" spans="1:4" x14ac:dyDescent="0.2">
      <c r="A46" s="23" t="s">
        <v>151</v>
      </c>
      <c r="B46" s="24" t="str">
        <f>'Ressourcenausgleich Basis'!B45</f>
        <v>Grundsteuer (Spezialsatz)</v>
      </c>
      <c r="C46" s="23"/>
      <c r="D46" s="23"/>
    </row>
    <row r="47" spans="1:4" x14ac:dyDescent="0.2">
      <c r="B47" t="str">
        <f>'Ressourcenausgleich Basis'!B46</f>
        <v>Bruttoertrag</v>
      </c>
      <c r="C47" s="1">
        <f>HLOOKUP(C$9,'Ressourcenausgleich Basis'!$C$8:$BZ$151,39,FALSE)</f>
        <v>1616929.5499999998</v>
      </c>
      <c r="D47" s="7" t="e">
        <f>HLOOKUP(D$9,'Ressourcenausgleich Basis'!$C$8:$BZ$151,39,FALSE)</f>
        <v>#N/A</v>
      </c>
    </row>
    <row r="48" spans="1:4" x14ac:dyDescent="0.2">
      <c r="B48" t="str">
        <f>'Ressourcenausgleich Basis'!B47</f>
        <v>Erlasse/Verluste</v>
      </c>
      <c r="C48" s="1">
        <f>HLOOKUP(C$9,'Ressourcenausgleich Basis'!$C$8:$BZ$151,40,FALSE)</f>
        <v>11.92</v>
      </c>
      <c r="D48" s="7" t="e">
        <f>HLOOKUP(D$9,'Ressourcenausgleich Basis'!$C$8:$BZ$151,40,FALSE)</f>
        <v>#N/A</v>
      </c>
    </row>
    <row r="49" spans="1:4" x14ac:dyDescent="0.2">
      <c r="A49" s="19"/>
      <c r="B49" s="19" t="str">
        <f>'Ressourcenausgleich Basis'!B48</f>
        <v>Nettoertrag (standardisierter Ertrag)</v>
      </c>
      <c r="C49" s="13">
        <f>HLOOKUP(C$9,'Ressourcenausgleich Basis'!$C$8:$BZ$151,41,FALSE)</f>
        <v>1616917.6299999997</v>
      </c>
      <c r="D49" s="13" t="e">
        <f>HLOOKUP(D$9,'Ressourcenausgleich Basis'!$C$8:$BZ$151,41,FALSE)</f>
        <v>#N/A</v>
      </c>
    </row>
    <row r="51" spans="1:4" x14ac:dyDescent="0.2">
      <c r="A51" s="23" t="s">
        <v>152</v>
      </c>
      <c r="B51" s="24" t="str">
        <f>'Ressourcenausgleich Basis'!B50</f>
        <v>Handänderungssteuer</v>
      </c>
      <c r="C51" s="23"/>
      <c r="D51" s="23"/>
    </row>
    <row r="52" spans="1:4" x14ac:dyDescent="0.2">
      <c r="B52" t="str">
        <f>'Ressourcenausgleich Basis'!B51</f>
        <v>Bruttoertrag</v>
      </c>
      <c r="C52" s="1">
        <f>HLOOKUP(C$9,'Ressourcenausgleich Basis'!$C$8:$BZ$151,44,FALSE)</f>
        <v>66697905.510000005</v>
      </c>
      <c r="D52" s="7" t="e">
        <f>HLOOKUP(D$9,'Ressourcenausgleich Basis'!$C$8:$BZ$151,44,FALSE)</f>
        <v>#N/A</v>
      </c>
    </row>
    <row r="53" spans="1:4" x14ac:dyDescent="0.2">
      <c r="B53" t="str">
        <f>'Ressourcenausgleich Basis'!B52</f>
        <v>Erlasse/Verluste</v>
      </c>
      <c r="C53" s="1">
        <f>HLOOKUP(C$9,'Ressourcenausgleich Basis'!$C$8:$BZ$151,45,FALSE)</f>
        <v>0</v>
      </c>
      <c r="D53" s="7" t="e">
        <f>HLOOKUP(D$9,'Ressourcenausgleich Basis'!$C$8:$BZ$151,45,FALSE)</f>
        <v>#N/A</v>
      </c>
    </row>
    <row r="54" spans="1:4" x14ac:dyDescent="0.2">
      <c r="A54" s="19"/>
      <c r="B54" s="19" t="str">
        <f>'Ressourcenausgleich Basis'!B53</f>
        <v>Nettoertrag (standardisierter Ertrag)</v>
      </c>
      <c r="C54" s="13">
        <f>HLOOKUP(C$9,'Ressourcenausgleich Basis'!$C$8:$BZ$151,46,FALSE)</f>
        <v>66697905.510000005</v>
      </c>
      <c r="D54" s="13" t="e">
        <f>HLOOKUP(D$9,'Ressourcenausgleich Basis'!$C$8:$BZ$151,46,FALSE)</f>
        <v>#N/A</v>
      </c>
    </row>
    <row r="56" spans="1:4" x14ac:dyDescent="0.2">
      <c r="A56" s="23" t="s">
        <v>153</v>
      </c>
      <c r="B56" s="24" t="str">
        <f>'Ressourcenausgleich Basis'!B55</f>
        <v>Grundstückgewinnsteuer</v>
      </c>
      <c r="C56" s="23"/>
      <c r="D56" s="23"/>
    </row>
    <row r="57" spans="1:4" x14ac:dyDescent="0.2">
      <c r="B57" t="str">
        <f>'Ressourcenausgleich Basis'!B56</f>
        <v>Bruttoertrag</v>
      </c>
      <c r="C57" s="62">
        <f>HLOOKUP(C$9,'Ressourcenausgleich Basis'!$C$8:$BZ$151,49,FALSE)</f>
        <v>104406820.00000004</v>
      </c>
      <c r="D57" s="31" t="e">
        <f>HLOOKUP(D$9,'Ressourcenausgleich Basis'!$C$8:$BZ$151,49,FALSE)</f>
        <v>#N/A</v>
      </c>
    </row>
    <row r="58" spans="1:4" x14ac:dyDescent="0.2">
      <c r="B58" t="str">
        <f>'Ressourcenausgleich Basis'!B57</f>
        <v>Abschreibungen</v>
      </c>
      <c r="C58" s="62">
        <f>HLOOKUP(C$9,'Ressourcenausgleich Basis'!$C$8:$BZ$151,50,FALSE)</f>
        <v>21810.15</v>
      </c>
      <c r="D58" s="31" t="e">
        <f>HLOOKUP(D$9,'Ressourcenausgleich Basis'!$C$8:$BZ$151,50,FALSE)</f>
        <v>#N/A</v>
      </c>
    </row>
    <row r="59" spans="1:4" x14ac:dyDescent="0.2">
      <c r="A59" s="19"/>
      <c r="B59" s="19" t="str">
        <f>'Ressourcenausgleich Basis'!B58</f>
        <v>Nettoertrag (standardisierter Ertrag)</v>
      </c>
      <c r="C59" s="32">
        <f>HLOOKUP(C$9,'Ressourcenausgleich Basis'!$C$8:$BZ$151,51,FALSE)</f>
        <v>104385009.85000001</v>
      </c>
      <c r="D59" s="32" t="e">
        <f>HLOOKUP(D$9,'Ressourcenausgleich Basis'!$C$8:$BZ$151,51,FALSE)</f>
        <v>#N/A</v>
      </c>
    </row>
    <row r="61" spans="1:4" x14ac:dyDescent="0.2">
      <c r="B61" s="22"/>
    </row>
    <row r="62" spans="1:4" ht="15.75" x14ac:dyDescent="0.25">
      <c r="A62" s="20" t="s">
        <v>98</v>
      </c>
      <c r="B62" s="21" t="str">
        <f>'Ressourcenausgleich Basis'!B61</f>
        <v>Steuerdaten 2021</v>
      </c>
      <c r="C62" s="5"/>
      <c r="D62" s="5"/>
    </row>
    <row r="63" spans="1:4" x14ac:dyDescent="0.2">
      <c r="B63" s="22"/>
      <c r="C63" s="3"/>
      <c r="D63" s="3"/>
    </row>
    <row r="64" spans="1:4" x14ac:dyDescent="0.2">
      <c r="A64" s="23" t="s">
        <v>128</v>
      </c>
      <c r="B64" s="24" t="str">
        <f>'Ressourcenausgleich Basis'!B63</f>
        <v>Einkommens-/Vermögenssteuer</v>
      </c>
      <c r="C64" s="11"/>
      <c r="D64" s="11"/>
    </row>
    <row r="65" spans="1:4" x14ac:dyDescent="0.2">
      <c r="B65" s="26" t="str">
        <f>'Ressourcenausgleich Basis'!B64</f>
        <v>Steuerfuss</v>
      </c>
      <c r="C65" s="49">
        <f>HLOOKUP(C$9,'Ressourcenausgleich Basis'!$C$8:$BZ$151,57,FALSE)</f>
        <v>1.1429653812687708</v>
      </c>
      <c r="D65" s="8" t="e">
        <f>HLOOKUP(D$9,'Ressourcenausgleich Basis'!$C$8:$BZ$151,57,FALSE)</f>
        <v>#N/A</v>
      </c>
    </row>
    <row r="66" spans="1:4" x14ac:dyDescent="0.2">
      <c r="B66" s="28"/>
      <c r="C66" s="3"/>
      <c r="D66" s="3"/>
    </row>
    <row r="67" spans="1:4" x14ac:dyDescent="0.2">
      <c r="B67" t="str">
        <f>'Ressourcenausgleich Basis'!B66</f>
        <v>Einfache Steuer Brutto</v>
      </c>
      <c r="C67" s="3">
        <f>HLOOKUP(C$9,'Ressourcenausgleich Basis'!$C$8:$BZ$151,59,FALSE)</f>
        <v>1134522070.1199999</v>
      </c>
      <c r="D67" s="10" t="e">
        <f>HLOOKUP(D$9,'Ressourcenausgleich Basis'!$C$8:$BZ$151,59,FALSE)</f>
        <v>#N/A</v>
      </c>
    </row>
    <row r="68" spans="1:4" x14ac:dyDescent="0.2">
      <c r="B68" t="str">
        <f>'Ressourcenausgleich Basis'!B67</f>
        <v>Abschreibungen</v>
      </c>
      <c r="C68" s="3">
        <f>HLOOKUP(C$9,'Ressourcenausgleich Basis'!$C$8:$BZ$151,60,FALSE)</f>
        <v>6223197.275780485</v>
      </c>
      <c r="D68" s="10" t="e">
        <f>HLOOKUP(D$9,'Ressourcenausgleich Basis'!$C$8:$BZ$151,60,FALSE)</f>
        <v>#N/A</v>
      </c>
    </row>
    <row r="69" spans="1:4" x14ac:dyDescent="0.2">
      <c r="B69" t="str">
        <f>'Ressourcenausgleich Basis'!B68</f>
        <v>Einfache Steuer Netto</v>
      </c>
      <c r="C69" s="3">
        <f>HLOOKUP(C$9,'Ressourcenausgleich Basis'!$C$8:$BZ$151,61,FALSE)</f>
        <v>1128298872.8442192</v>
      </c>
      <c r="D69" s="3" t="e">
        <f>HLOOKUP(D$9,'Ressourcenausgleich Basis'!$C$8:$BZ$151,61,FALSE)</f>
        <v>#N/A</v>
      </c>
    </row>
    <row r="70" spans="1:4" x14ac:dyDescent="0.2">
      <c r="C70" s="3"/>
      <c r="D70" s="3"/>
    </row>
    <row r="71" spans="1:4" x14ac:dyDescent="0.2">
      <c r="B71" t="str">
        <f>'Ressourcenausgleich Basis'!B70</f>
        <v>Effektiver Nettoertrag</v>
      </c>
      <c r="C71" s="3">
        <f>HLOOKUP(C$9,'Ressourcenausgleich Basis'!$C$8:$BZ$151,63,FALSE)</f>
        <v>1289606551.3855174</v>
      </c>
      <c r="D71" s="3" t="e">
        <f>HLOOKUP(D$9,'Ressourcenausgleich Basis'!$C$8:$BZ$151,63,FALSE)</f>
        <v>#N/A</v>
      </c>
    </row>
    <row r="72" spans="1:4" x14ac:dyDescent="0.2">
      <c r="C72" s="3"/>
      <c r="D72" s="3"/>
    </row>
    <row r="73" spans="1:4" x14ac:dyDescent="0.2">
      <c r="A73" s="19"/>
      <c r="B73" s="19" t="str">
        <f>'Ressourcenausgleich Basis'!B72</f>
        <v>Standardisierter Ertrag</v>
      </c>
      <c r="C73" s="13">
        <f>HLOOKUP(C$9,'Ressourcenausgleich Basis'!$C$8:$BZ$151,65,FALSE)</f>
        <v>1289606551.3855174</v>
      </c>
      <c r="D73" s="13" t="e">
        <f>HLOOKUP(D$9,'Ressourcenausgleich Basis'!$C$8:$BZ$151,65,FALSE)</f>
        <v>#N/A</v>
      </c>
    </row>
    <row r="74" spans="1:4" x14ac:dyDescent="0.2">
      <c r="C74" s="3"/>
      <c r="D74" s="3"/>
    </row>
    <row r="75" spans="1:4" x14ac:dyDescent="0.2">
      <c r="A75" s="23" t="s">
        <v>129</v>
      </c>
      <c r="B75" s="24" t="str">
        <f>'Ressourcenausgleich Basis'!B74</f>
        <v>Quellensteuer</v>
      </c>
      <c r="C75" s="14"/>
      <c r="D75" s="14"/>
    </row>
    <row r="76" spans="1:4" x14ac:dyDescent="0.2">
      <c r="B76" t="str">
        <f>'Ressourcenausgleich Basis'!B75</f>
        <v>Bruttoertrag</v>
      </c>
      <c r="C76" s="1">
        <f>HLOOKUP(C$9,'Ressourcenausgleich Basis'!$C$8:$BZ$151,68,FALSE)</f>
        <v>65715613.349999979</v>
      </c>
      <c r="D76" s="7" t="e">
        <f>HLOOKUP(D$9,'Ressourcenausgleich Basis'!$C$8:$BZ$151,68,FALSE)</f>
        <v>#N/A</v>
      </c>
    </row>
    <row r="77" spans="1:4" x14ac:dyDescent="0.2">
      <c r="B77" t="str">
        <f>'Ressourcenausgleich Basis'!B76</f>
        <v>Abschreibungen</v>
      </c>
      <c r="C77" s="1">
        <f>HLOOKUP(C$9,'Ressourcenausgleich Basis'!$C$8:$BZ$151,69,FALSE)</f>
        <v>518564.5199999999</v>
      </c>
      <c r="D77" s="7" t="e">
        <f>HLOOKUP(D$9,'Ressourcenausgleich Basis'!$C$8:$BZ$151,69,FALSE)</f>
        <v>#N/A</v>
      </c>
    </row>
    <row r="78" spans="1:4" x14ac:dyDescent="0.2">
      <c r="A78" s="19"/>
      <c r="B78" s="19" t="str">
        <f>'Ressourcenausgleich Basis'!B77</f>
        <v>Nettoertrag (standardisierter Ertrag)</v>
      </c>
      <c r="C78" s="13">
        <f>HLOOKUP(C$9,'Ressourcenausgleich Basis'!$C$8:$BZ$151,70,FALSE)</f>
        <v>65197048.829999983</v>
      </c>
      <c r="D78" s="13" t="e">
        <f>HLOOKUP(D$9,'Ressourcenausgleich Basis'!$C$8:$BZ$151,70,FALSE)</f>
        <v>#N/A</v>
      </c>
    </row>
    <row r="79" spans="1:4" x14ac:dyDescent="0.2">
      <c r="C79" s="3"/>
      <c r="D79" s="3"/>
    </row>
    <row r="80" spans="1:4" x14ac:dyDescent="0.2">
      <c r="A80" s="23" t="s">
        <v>137</v>
      </c>
      <c r="B80" s="24" t="str">
        <f>'Ressourcenausgleich Basis'!B79</f>
        <v>Gewinn- und Kapitalsteuer</v>
      </c>
      <c r="C80" s="14"/>
      <c r="D80" s="14"/>
    </row>
    <row r="81" spans="1:4" x14ac:dyDescent="0.2">
      <c r="B81" t="str">
        <f>'Ressourcenausgleich Basis'!B80</f>
        <v>Bruttoertrag</v>
      </c>
      <c r="C81" s="1">
        <f>HLOOKUP(C$9,'Ressourcenausgleich Basis'!$C$8:$BZ$151,73,FALSE)</f>
        <v>159039026.70000002</v>
      </c>
      <c r="D81" s="7" t="e">
        <f>HLOOKUP(D$9,'Ressourcenausgleich Basis'!$C$8:$BZ$151,73,FALSE)</f>
        <v>#N/A</v>
      </c>
    </row>
    <row r="82" spans="1:4" x14ac:dyDescent="0.2">
      <c r="B82" t="str">
        <f>'Ressourcenausgleich Basis'!B81</f>
        <v>Abschreibungen</v>
      </c>
      <c r="C82" s="1">
        <f>HLOOKUP(C$9,'Ressourcenausgleich Basis'!$C$8:$BZ$151,74,FALSE)</f>
        <v>2536648.6499999985</v>
      </c>
      <c r="D82" s="7" t="e">
        <f>HLOOKUP(D$9,'Ressourcenausgleich Basis'!$C$8:$BZ$151,74,FALSE)</f>
        <v>#N/A</v>
      </c>
    </row>
    <row r="83" spans="1:4" x14ac:dyDescent="0.2">
      <c r="B83" t="str">
        <f>'Ressourcenausgleich Basis'!B82</f>
        <v>pauschale Steueranrechnung</v>
      </c>
      <c r="C83" s="3">
        <f>HLOOKUP(C$9,'Ressourcenausgleich Basis'!$C$8:$BZ$151,75,FALSE)</f>
        <v>491849.59999999992</v>
      </c>
      <c r="D83" s="10" t="e">
        <f>HLOOKUP(D$9,'Ressourcenausgleich Basis'!$C$8:$BZ$151,75,FALSE)</f>
        <v>#N/A</v>
      </c>
    </row>
    <row r="84" spans="1:4" x14ac:dyDescent="0.2">
      <c r="A84" s="19"/>
      <c r="B84" s="19" t="str">
        <f>'Ressourcenausgleich Basis'!B83</f>
        <v>Nettoertrag (standardisierter Ertrag)</v>
      </c>
      <c r="C84" s="13">
        <f>HLOOKUP(C$9,'Ressourcenausgleich Basis'!$C$8:$BZ$151,76,FALSE)</f>
        <v>156010528.44999999</v>
      </c>
      <c r="D84" s="13" t="e">
        <f>HLOOKUP(D$9,'Ressourcenausgleich Basis'!$C$8:$BZ$151,76,FALSE)</f>
        <v>#N/A</v>
      </c>
    </row>
    <row r="85" spans="1:4" x14ac:dyDescent="0.2">
      <c r="C85" s="3"/>
      <c r="D85" s="3"/>
    </row>
    <row r="86" spans="1:4" x14ac:dyDescent="0.2">
      <c r="A86" s="23" t="s">
        <v>143</v>
      </c>
      <c r="B86" s="24" t="str">
        <f>'Ressourcenausgleich Basis'!B85</f>
        <v>Grundsteuer (ord. Satz)</v>
      </c>
      <c r="C86" s="14"/>
      <c r="D86" s="14"/>
    </row>
    <row r="87" spans="1:4" x14ac:dyDescent="0.2">
      <c r="B87" t="str">
        <f>'Ressourcenausgleich Basis'!B86</f>
        <v>Steuersatz in ‰</v>
      </c>
      <c r="C87" s="3">
        <f>HLOOKUP(C$9,'Ressourcenausgleich Basis'!$C$8:$BZ$151,79,FALSE)</f>
        <v>0.69041462225426131</v>
      </c>
      <c r="D87" s="10" t="e">
        <f>HLOOKUP(D$9,'Ressourcenausgleich Basis'!$C$8:$BZ$151,79,FALSE)</f>
        <v>#N/A</v>
      </c>
    </row>
    <row r="88" spans="1:4" x14ac:dyDescent="0.2">
      <c r="B88" s="30"/>
      <c r="C88" s="3"/>
      <c r="D88" s="3"/>
    </row>
    <row r="89" spans="1:4" x14ac:dyDescent="0.2">
      <c r="B89" t="str">
        <f>'Ressourcenausgleich Basis'!B88</f>
        <v>Bruttoertrag</v>
      </c>
      <c r="C89" s="3">
        <f>HLOOKUP(C$9,'Ressourcenausgleich Basis'!$C$8:$BZ$151,81,FALSE)</f>
        <v>96105130.140000015</v>
      </c>
      <c r="D89" s="10" t="e">
        <f>HLOOKUP(D$9,'Ressourcenausgleich Basis'!$C$8:$BZ$151,81,FALSE)</f>
        <v>#N/A</v>
      </c>
    </row>
    <row r="90" spans="1:4" x14ac:dyDescent="0.2">
      <c r="B90" t="str">
        <f>'Ressourcenausgleich Basis'!B89</f>
        <v>Erlasse/Verluste</v>
      </c>
      <c r="C90" s="3">
        <f>HLOOKUP(C$9,'Ressourcenausgleich Basis'!$C$8:$BZ$151,82,FALSE)</f>
        <v>5602.84</v>
      </c>
      <c r="D90" s="10" t="e">
        <f>HLOOKUP(D$9,'Ressourcenausgleich Basis'!$C$8:$BZ$151,82,FALSE)</f>
        <v>#N/A</v>
      </c>
    </row>
    <row r="91" spans="1:4" x14ac:dyDescent="0.2">
      <c r="B91" t="str">
        <f>'Ressourcenausgleich Basis'!B90</f>
        <v>Nettoertrag</v>
      </c>
      <c r="C91" s="3">
        <f>HLOOKUP(C$9,'Ressourcenausgleich Basis'!$C$8:$BZ$151,83,FALSE)</f>
        <v>96099527.300000027</v>
      </c>
      <c r="D91" s="3" t="e">
        <f>HLOOKUP(D$9,'Ressourcenausgleich Basis'!$C$8:$BZ$151,83,FALSE)</f>
        <v>#N/A</v>
      </c>
    </row>
    <row r="92" spans="1:4" x14ac:dyDescent="0.2">
      <c r="C92" s="3"/>
      <c r="D92" s="3"/>
    </row>
    <row r="93" spans="1:4" x14ac:dyDescent="0.2">
      <c r="B93" t="str">
        <f>'Ressourcenausgleich Basis'!B92</f>
        <v>Ertrag bei Satz von 1‰</v>
      </c>
      <c r="C93" s="3">
        <f>HLOOKUP(C$9,'Ressourcenausgleich Basis'!$C$8:$BZ$151,85,FALSE)</f>
        <v>139191037.09916666</v>
      </c>
      <c r="D93" s="3" t="e">
        <f>HLOOKUP(D$9,'Ressourcenausgleich Basis'!$C$8:$BZ$151,85,FALSE)</f>
        <v>#N/A</v>
      </c>
    </row>
    <row r="94" spans="1:4" x14ac:dyDescent="0.2">
      <c r="C94" s="3"/>
      <c r="D94" s="3"/>
    </row>
    <row r="95" spans="1:4" x14ac:dyDescent="0.2">
      <c r="A95" s="19"/>
      <c r="B95" s="19" t="str">
        <f>'Ressourcenausgleich Basis'!B94</f>
        <v>Standardisierter Ertrag</v>
      </c>
      <c r="C95" s="13">
        <f>HLOOKUP(C$9,'Ressourcenausgleich Basis'!$C$8:$BZ$151,87,FALSE)</f>
        <v>96099527.300000027</v>
      </c>
      <c r="D95" s="13" t="e">
        <f>HLOOKUP(D$9,'Ressourcenausgleich Basis'!$C$8:$BZ$151,87,FALSE)</f>
        <v>#N/A</v>
      </c>
    </row>
    <row r="96" spans="1:4" x14ac:dyDescent="0.2">
      <c r="C96" s="3"/>
      <c r="D96" s="3"/>
    </row>
    <row r="97" spans="1:4" x14ac:dyDescent="0.2">
      <c r="A97" s="23" t="s">
        <v>154</v>
      </c>
      <c r="B97" s="24" t="str">
        <f>'Ressourcenausgleich Basis'!B96</f>
        <v>Grundsteuer (Spezialsatz)</v>
      </c>
      <c r="C97" s="14"/>
      <c r="D97" s="14"/>
    </row>
    <row r="98" spans="1:4" x14ac:dyDescent="0.2">
      <c r="B98" t="str">
        <f>'Ressourcenausgleich Basis'!B97</f>
        <v>Bruttoertrag</v>
      </c>
      <c r="C98" s="3">
        <f>HLOOKUP(C$9,'Ressourcenausgleich Basis'!$C$8:$BZ$151,90,FALSE)</f>
        <v>1565417.9599999997</v>
      </c>
      <c r="D98" s="10" t="e">
        <f>HLOOKUP(D$9,'Ressourcenausgleich Basis'!$C$8:$BZ$151,90,FALSE)</f>
        <v>#N/A</v>
      </c>
    </row>
    <row r="99" spans="1:4" x14ac:dyDescent="0.2">
      <c r="B99" t="str">
        <f>'Ressourcenausgleich Basis'!B98</f>
        <v>Erlasse/Verluste</v>
      </c>
      <c r="C99" s="3">
        <f>HLOOKUP(C$9,'Ressourcenausgleich Basis'!$C$8:$BZ$151,91,FALSE)</f>
        <v>11.899999999999999</v>
      </c>
      <c r="D99" s="10" t="e">
        <f>HLOOKUP(D$9,'Ressourcenausgleich Basis'!$C$8:$BZ$151,91,FALSE)</f>
        <v>#N/A</v>
      </c>
    </row>
    <row r="100" spans="1:4" x14ac:dyDescent="0.2">
      <c r="A100" s="19"/>
      <c r="B100" s="19" t="str">
        <f>'Ressourcenausgleich Basis'!B99</f>
        <v>Nettoertrag (standardisierter Ertrag)</v>
      </c>
      <c r="C100" s="13">
        <f>HLOOKUP(C$9,'Ressourcenausgleich Basis'!$C$8:$BZ$151,92,FALSE)</f>
        <v>1565406.0599999996</v>
      </c>
      <c r="D100" s="13" t="e">
        <f>HLOOKUP(D$9,'Ressourcenausgleich Basis'!$C$8:$BZ$151,92,FALSE)</f>
        <v>#N/A</v>
      </c>
    </row>
    <row r="101" spans="1:4" x14ac:dyDescent="0.2">
      <c r="C101" s="3"/>
      <c r="D101" s="3"/>
    </row>
    <row r="102" spans="1:4" x14ac:dyDescent="0.2">
      <c r="A102" s="23" t="s">
        <v>155</v>
      </c>
      <c r="B102" s="24" t="str">
        <f>'Ressourcenausgleich Basis'!B101</f>
        <v>Handänderungssteuer</v>
      </c>
      <c r="C102" s="14"/>
      <c r="D102" s="14"/>
    </row>
    <row r="103" spans="1:4" x14ac:dyDescent="0.2">
      <c r="B103" t="str">
        <f>'Ressourcenausgleich Basis'!B102</f>
        <v>Bruttoertrag</v>
      </c>
      <c r="C103" s="3">
        <f>HLOOKUP(C$9,'Ressourcenausgleich Basis'!$C$8:$BZ$151,95,FALSE)</f>
        <v>64401961.040000014</v>
      </c>
      <c r="D103" s="10" t="e">
        <f>HLOOKUP(D$9,'Ressourcenausgleich Basis'!$C$8:$BZ$151,95,FALSE)</f>
        <v>#N/A</v>
      </c>
    </row>
    <row r="104" spans="1:4" x14ac:dyDescent="0.2">
      <c r="B104" t="str">
        <f>'Ressourcenausgleich Basis'!B103</f>
        <v>Erlasse/Verluste</v>
      </c>
      <c r="C104" s="3">
        <f>HLOOKUP(C$9,'Ressourcenausgleich Basis'!$C$8:$BZ$151,96,FALSE)</f>
        <v>0</v>
      </c>
      <c r="D104" s="10" t="e">
        <f>HLOOKUP(D$9,'Ressourcenausgleich Basis'!$C$8:$BZ$151,96,FALSE)</f>
        <v>#N/A</v>
      </c>
    </row>
    <row r="105" spans="1:4" x14ac:dyDescent="0.2">
      <c r="A105" s="19"/>
      <c r="B105" s="19" t="str">
        <f>'Ressourcenausgleich Basis'!B104</f>
        <v>Nettoertrag (standardisierter Ertrag)</v>
      </c>
      <c r="C105" s="13">
        <f>HLOOKUP(C$9,'Ressourcenausgleich Basis'!$C$8:$BZ$151,97,FALSE)</f>
        <v>64401961.040000014</v>
      </c>
      <c r="D105" s="13" t="e">
        <f>HLOOKUP(D$9,'Ressourcenausgleich Basis'!$C$8:$BZ$151,97,FALSE)</f>
        <v>#N/A</v>
      </c>
    </row>
    <row r="106" spans="1:4" x14ac:dyDescent="0.2">
      <c r="C106" s="3"/>
      <c r="D106" s="3"/>
    </row>
    <row r="107" spans="1:4" x14ac:dyDescent="0.2">
      <c r="A107" s="23" t="s">
        <v>156</v>
      </c>
      <c r="B107" s="24" t="str">
        <f>'Ressourcenausgleich Basis'!B106</f>
        <v>Grundstückgewinnsteuer</v>
      </c>
      <c r="C107" s="14"/>
      <c r="D107" s="14"/>
    </row>
    <row r="108" spans="1:4" x14ac:dyDescent="0.2">
      <c r="B108" t="str">
        <f>'Ressourcenausgleich Basis'!B107</f>
        <v>Bruttoertrag</v>
      </c>
      <c r="C108" s="1">
        <f>HLOOKUP(C$9,'Ressourcenausgleich Basis'!$C$8:$BZ$151,100,FALSE)</f>
        <v>99175891.799999997</v>
      </c>
      <c r="D108" s="7" t="e">
        <f>HLOOKUP(D$9,'Ressourcenausgleich Basis'!$C$8:$BZ$151,100,FALSE)</f>
        <v>#N/A</v>
      </c>
    </row>
    <row r="109" spans="1:4" x14ac:dyDescent="0.2">
      <c r="B109" t="str">
        <f>'Ressourcenausgleich Basis'!B108</f>
        <v>Abschreibungen</v>
      </c>
      <c r="C109" s="1">
        <f>HLOOKUP(C$9,'Ressourcenausgleich Basis'!$C$8:$BZ$151,101,FALSE)</f>
        <v>13515.499999999995</v>
      </c>
      <c r="D109" s="7" t="e">
        <f>HLOOKUP(D$9,'Ressourcenausgleich Basis'!$C$8:$BZ$151,101,FALSE)</f>
        <v>#N/A</v>
      </c>
    </row>
    <row r="110" spans="1:4" x14ac:dyDescent="0.2">
      <c r="A110" s="19"/>
      <c r="B110" s="19" t="str">
        <f>'Ressourcenausgleich Basis'!B109</f>
        <v>Nettoertrag (standardisierter Ertrag)</v>
      </c>
      <c r="C110" s="13">
        <f>HLOOKUP(C$9,'Ressourcenausgleich Basis'!$C$8:$BZ$151,102,FALSE)</f>
        <v>99162376.300000027</v>
      </c>
      <c r="D110" s="13" t="e">
        <f>HLOOKUP(D$9,'Ressourcenausgleich Basis'!$C$8:$BZ$151,102,FALSE)</f>
        <v>#N/A</v>
      </c>
    </row>
    <row r="111" spans="1:4" x14ac:dyDescent="0.2">
      <c r="C111" s="3"/>
      <c r="D111" s="3"/>
    </row>
    <row r="112" spans="1:4" x14ac:dyDescent="0.2">
      <c r="C112" s="3"/>
      <c r="D112" s="3"/>
    </row>
    <row r="113" spans="1:4" ht="15.75" x14ac:dyDescent="0.25">
      <c r="A113" s="20" t="s">
        <v>99</v>
      </c>
      <c r="B113" s="20" t="str">
        <f>'Ressourcenausgleich Basis'!B112</f>
        <v>Berechnung der technischen Steuerkraft</v>
      </c>
      <c r="C113" s="34"/>
      <c r="D113" s="34"/>
    </row>
    <row r="114" spans="1:4" x14ac:dyDescent="0.2">
      <c r="C114" s="3"/>
      <c r="D114" s="3"/>
    </row>
    <row r="115" spans="1:4" x14ac:dyDescent="0.2">
      <c r="A115" s="23" t="s">
        <v>157</v>
      </c>
      <c r="B115" s="25" t="str">
        <f>'Ressourcenausgleich Basis'!B114</f>
        <v>Technische Steuerkraft 2022</v>
      </c>
      <c r="C115" s="11"/>
      <c r="D115" s="11"/>
    </row>
    <row r="116" spans="1:4" x14ac:dyDescent="0.2">
      <c r="B116" t="str">
        <f>'Ressourcenausgleich Basis'!B115</f>
        <v>Einkommens-/Vermögenssteuer</v>
      </c>
      <c r="C116" s="3">
        <f>HLOOKUP(C$9,'Ressourcenausgleich Basis'!$C$8:$BZ$151,108,FALSE)</f>
        <v>1333491487.5416548</v>
      </c>
      <c r="D116" s="3" t="e">
        <f>HLOOKUP(D$9,'Ressourcenausgleich Basis'!$C$8:$BZ$151,108,FALSE)</f>
        <v>#N/A</v>
      </c>
    </row>
    <row r="117" spans="1:4" x14ac:dyDescent="0.2">
      <c r="B117" t="str">
        <f>'Ressourcenausgleich Basis'!B116</f>
        <v>Quellensteuer</v>
      </c>
      <c r="C117" s="3">
        <f>HLOOKUP(C$9,'Ressourcenausgleich Basis'!$C$8:$BZ$151,109,FALSE)</f>
        <v>70556371.389999971</v>
      </c>
      <c r="D117" s="3" t="e">
        <f>HLOOKUP(D$9,'Ressourcenausgleich Basis'!$C$8:$BZ$151,109,FALSE)</f>
        <v>#N/A</v>
      </c>
    </row>
    <row r="118" spans="1:4" x14ac:dyDescent="0.2">
      <c r="B118" t="str">
        <f>'Ressourcenausgleich Basis'!B117</f>
        <v>Gewinn- und Kapitalsteuer</v>
      </c>
      <c r="C118" s="3">
        <f>HLOOKUP(C$9,'Ressourcenausgleich Basis'!$C$8:$BZ$151,110,FALSE)</f>
        <v>194696872.80000001</v>
      </c>
      <c r="D118" s="3" t="e">
        <f>HLOOKUP(D$9,'Ressourcenausgleich Basis'!$C$8:$BZ$151,110,FALSE)</f>
        <v>#N/A</v>
      </c>
    </row>
    <row r="119" spans="1:4" x14ac:dyDescent="0.2">
      <c r="B119" t="str">
        <f>'Ressourcenausgleich Basis'!B118</f>
        <v>Grundsteuer (ord. Satz)</v>
      </c>
      <c r="C119" s="3">
        <f>HLOOKUP(C$9,'Ressourcenausgleich Basis'!$C$8:$BZ$151,111,FALSE)</f>
        <v>100249679.95000003</v>
      </c>
      <c r="D119" s="3" t="e">
        <f>HLOOKUP(D$9,'Ressourcenausgleich Basis'!$C$8:$BZ$151,111,FALSE)</f>
        <v>#N/A</v>
      </c>
    </row>
    <row r="120" spans="1:4" x14ac:dyDescent="0.2">
      <c r="B120" t="str">
        <f>'Ressourcenausgleich Basis'!B119</f>
        <v>Grundsteuer (Spezialsatz)</v>
      </c>
      <c r="C120" s="3">
        <f>HLOOKUP(C$9,'Ressourcenausgleich Basis'!$C$8:$BZ$151,112,FALSE)</f>
        <v>1616917.6299999997</v>
      </c>
      <c r="D120" s="3" t="e">
        <f>HLOOKUP(D$9,'Ressourcenausgleich Basis'!$C$8:$BZ$151,112,FALSE)</f>
        <v>#N/A</v>
      </c>
    </row>
    <row r="121" spans="1:4" x14ac:dyDescent="0.2">
      <c r="B121" t="str">
        <f>'Ressourcenausgleich Basis'!B120</f>
        <v>Handänderungssteuer</v>
      </c>
      <c r="C121" s="3">
        <f>HLOOKUP(C$9,'Ressourcenausgleich Basis'!$C$8:$BZ$151,113,FALSE)</f>
        <v>66697905.510000005</v>
      </c>
      <c r="D121" s="3" t="e">
        <f>HLOOKUP(D$9,'Ressourcenausgleich Basis'!$C$8:$BZ$151,113,FALSE)</f>
        <v>#N/A</v>
      </c>
    </row>
    <row r="122" spans="1:4" x14ac:dyDescent="0.2">
      <c r="B122" t="str">
        <f>'Ressourcenausgleich Basis'!B121</f>
        <v>Grundstückgewinnsteuer</v>
      </c>
      <c r="C122" s="3">
        <f>HLOOKUP(C$9,'Ressourcenausgleich Basis'!$C$8:$BZ$151,114,FALSE)</f>
        <v>104385009.85000001</v>
      </c>
      <c r="D122" s="3" t="e">
        <f>HLOOKUP(D$9,'Ressourcenausgleich Basis'!$C$8:$BZ$151,114,FALSE)</f>
        <v>#N/A</v>
      </c>
    </row>
    <row r="123" spans="1:4" x14ac:dyDescent="0.2">
      <c r="B123" t="str">
        <f>'Ressourcenausgleich Basis'!B122</f>
        <v>Total</v>
      </c>
      <c r="C123" s="3">
        <f>HLOOKUP(C$9,'Ressourcenausgleich Basis'!$C$8:$BZ$151,115,FALSE)</f>
        <v>1871694244.6716547</v>
      </c>
      <c r="D123" s="3" t="e">
        <f>HLOOKUP(D$9,'Ressourcenausgleich Basis'!$C$8:$BZ$151,115,FALSE)</f>
        <v>#N/A</v>
      </c>
    </row>
    <row r="125" spans="1:4" x14ac:dyDescent="0.2">
      <c r="B125" t="str">
        <f>'Ressourcenausgleich Basis'!B124</f>
        <v>Einwohnerzahl per 31.12.</v>
      </c>
      <c r="C125" s="35">
        <f>HLOOKUP(C$9,'Ressourcenausgleich Basis'!$C$8:$BZ$151,117,FALSE)</f>
        <v>525967</v>
      </c>
      <c r="D125" s="36" t="e">
        <f>HLOOKUP(D$9,'Ressourcenausgleich Basis'!$C$8:$BZ$151,117,FALSE)</f>
        <v>#N/A</v>
      </c>
    </row>
    <row r="127" spans="1:4" x14ac:dyDescent="0.2">
      <c r="A127" s="19"/>
      <c r="B127" s="19" t="str">
        <f>'Ressourcenausgleich Basis'!B126</f>
        <v>Technische Steuerkraft pro Einwohner</v>
      </c>
      <c r="C127" s="37">
        <f>HLOOKUP(C$9,'Ressourcenausgleich Basis'!$C$8:$BZ$151,119,FALSE)</f>
        <v>3558.5773340754358</v>
      </c>
      <c r="D127" s="37" t="e">
        <f>HLOOKUP(D$9,'Ressourcenausgleich Basis'!$C$8:$BZ$151,119,FALSE)</f>
        <v>#N/A</v>
      </c>
    </row>
    <row r="128" spans="1:4" x14ac:dyDescent="0.2">
      <c r="C128" s="3"/>
      <c r="D128" s="3"/>
    </row>
    <row r="129" spans="1:4" x14ac:dyDescent="0.2">
      <c r="A129" s="23" t="s">
        <v>158</v>
      </c>
      <c r="B129" s="25" t="str">
        <f>'Ressourcenausgleich Basis'!B128</f>
        <v>Technische Steuerkraft 2021</v>
      </c>
      <c r="C129" s="11"/>
      <c r="D129" s="11"/>
    </row>
    <row r="130" spans="1:4" x14ac:dyDescent="0.2">
      <c r="B130" t="str">
        <f>'Ressourcenausgleich Basis'!B129</f>
        <v>Einkommens-/Vermögenssteuer</v>
      </c>
      <c r="C130" s="3">
        <f>HLOOKUP(C$9,'Ressourcenausgleich Basis'!$C$8:$BZ$151,122,FALSE)</f>
        <v>1289606551.3855174</v>
      </c>
      <c r="D130" s="3" t="e">
        <f>HLOOKUP(D$9,'Ressourcenausgleich Basis'!$C$8:$BZ$151,122,FALSE)</f>
        <v>#N/A</v>
      </c>
    </row>
    <row r="131" spans="1:4" x14ac:dyDescent="0.2">
      <c r="B131" t="str">
        <f>'Ressourcenausgleich Basis'!B130</f>
        <v>Quellensteuer</v>
      </c>
      <c r="C131" s="3">
        <f>HLOOKUP(C$9,'Ressourcenausgleich Basis'!$C$8:$BZ$151,123,FALSE)</f>
        <v>65197048.829999983</v>
      </c>
      <c r="D131" s="3" t="e">
        <f>HLOOKUP(D$9,'Ressourcenausgleich Basis'!$C$8:$BZ$151,123,FALSE)</f>
        <v>#N/A</v>
      </c>
    </row>
    <row r="132" spans="1:4" x14ac:dyDescent="0.2">
      <c r="B132" t="str">
        <f>'Ressourcenausgleich Basis'!B131</f>
        <v>Gewinn- und Kapitalsteuer</v>
      </c>
      <c r="C132" s="3">
        <f>HLOOKUP(C$9,'Ressourcenausgleich Basis'!$C$8:$BZ$151,124,FALSE)</f>
        <v>156010528.44999999</v>
      </c>
      <c r="D132" s="3" t="e">
        <f>HLOOKUP(D$9,'Ressourcenausgleich Basis'!$C$8:$BZ$151,124,FALSE)</f>
        <v>#N/A</v>
      </c>
    </row>
    <row r="133" spans="1:4" x14ac:dyDescent="0.2">
      <c r="B133" t="str">
        <f>'Ressourcenausgleich Basis'!B132</f>
        <v>Grundsteuer (ord. Satz)</v>
      </c>
      <c r="C133" s="3">
        <f>HLOOKUP(C$9,'Ressourcenausgleich Basis'!$C$8:$BZ$151,125,FALSE)</f>
        <v>96099527.300000027</v>
      </c>
      <c r="D133" s="3" t="e">
        <f>HLOOKUP(D$9,'Ressourcenausgleich Basis'!$C$8:$BZ$151,125,FALSE)</f>
        <v>#N/A</v>
      </c>
    </row>
    <row r="134" spans="1:4" x14ac:dyDescent="0.2">
      <c r="B134" t="str">
        <f>'Ressourcenausgleich Basis'!B133</f>
        <v>Grundsteuer (Spezialsatz)</v>
      </c>
      <c r="C134" s="3">
        <f>HLOOKUP(C$9,'Ressourcenausgleich Basis'!$C$8:$BZ$151,126,FALSE)</f>
        <v>1565406.0599999996</v>
      </c>
      <c r="D134" s="3" t="e">
        <f>HLOOKUP(D$9,'Ressourcenausgleich Basis'!$C$8:$BZ$151,126,FALSE)</f>
        <v>#N/A</v>
      </c>
    </row>
    <row r="135" spans="1:4" x14ac:dyDescent="0.2">
      <c r="B135" t="str">
        <f>'Ressourcenausgleich Basis'!B134</f>
        <v>Handänderungssteuer</v>
      </c>
      <c r="C135" s="3">
        <f>HLOOKUP(C$9,'Ressourcenausgleich Basis'!$C$8:$BZ$151,127,FALSE)</f>
        <v>64401961.040000014</v>
      </c>
      <c r="D135" s="3" t="e">
        <f>HLOOKUP(D$9,'Ressourcenausgleich Basis'!$C$8:$BZ$151,127,FALSE)</f>
        <v>#N/A</v>
      </c>
    </row>
    <row r="136" spans="1:4" x14ac:dyDescent="0.2">
      <c r="B136" t="str">
        <f>'Ressourcenausgleich Basis'!B135</f>
        <v>Grundstückgewinnsteuer</v>
      </c>
      <c r="C136" s="3">
        <f>HLOOKUP(C$9,'Ressourcenausgleich Basis'!$C$8:$BZ$151,128,FALSE)</f>
        <v>99162376.300000027</v>
      </c>
      <c r="D136" s="3" t="e">
        <f>HLOOKUP(D$9,'Ressourcenausgleich Basis'!$C$8:$BZ$151,128,FALSE)</f>
        <v>#N/A</v>
      </c>
    </row>
    <row r="137" spans="1:4" x14ac:dyDescent="0.2">
      <c r="B137" t="str">
        <f>'Ressourcenausgleich Basis'!B136</f>
        <v>Total</v>
      </c>
      <c r="C137" s="3">
        <f>HLOOKUP(C$9,'Ressourcenausgleich Basis'!$C$8:$BZ$151,129,FALSE)</f>
        <v>1772043399.3655171</v>
      </c>
      <c r="D137" s="3" t="e">
        <f>HLOOKUP(D$9,'Ressourcenausgleich Basis'!$C$8:$BZ$151,129,FALSE)</f>
        <v>#N/A</v>
      </c>
    </row>
    <row r="138" spans="1:4" x14ac:dyDescent="0.2">
      <c r="C138" s="3"/>
      <c r="D138" s="3"/>
    </row>
    <row r="139" spans="1:4" x14ac:dyDescent="0.2">
      <c r="B139" t="str">
        <f>'Ressourcenausgleich Basis'!B138</f>
        <v>Einwohnerzahl per 31.12.</v>
      </c>
      <c r="C139" s="35">
        <f>HLOOKUP(C$9,'Ressourcenausgleich Basis'!$C$8:$BZ$151,131,FALSE)</f>
        <v>519245</v>
      </c>
      <c r="D139" s="36" t="e">
        <f>HLOOKUP(D$9,'Ressourcenausgleich Basis'!$C$8:$BZ$151,131,FALSE)</f>
        <v>#N/A</v>
      </c>
    </row>
    <row r="140" spans="1:4" x14ac:dyDescent="0.2">
      <c r="C140" s="3"/>
      <c r="D140" s="3"/>
    </row>
    <row r="141" spans="1:4" x14ac:dyDescent="0.2">
      <c r="A141" s="19"/>
      <c r="B141" s="19" t="str">
        <f>'Ressourcenausgleich Basis'!B140</f>
        <v>Technische Steuerkraft pro Einwohner</v>
      </c>
      <c r="C141" s="37">
        <f>HLOOKUP(C$9,'Ressourcenausgleich Basis'!$C$8:$BZ$151,133,FALSE)</f>
        <v>3412.7307906008091</v>
      </c>
      <c r="D141" s="37" t="e">
        <f>HLOOKUP(D$9,'Ressourcenausgleich Basis'!$C$8:$BZ$151,133,FALSE)</f>
        <v>#N/A</v>
      </c>
    </row>
    <row r="142" spans="1:4" x14ac:dyDescent="0.2">
      <c r="C142" s="3"/>
      <c r="D142" s="3"/>
    </row>
    <row r="143" spans="1:4" x14ac:dyDescent="0.2">
      <c r="C143" s="3"/>
      <c r="D143" s="3"/>
    </row>
    <row r="144" spans="1:4" x14ac:dyDescent="0.2">
      <c r="A144" s="23" t="s">
        <v>159</v>
      </c>
      <c r="B144" s="25" t="str">
        <f>'Ressourcenausgleich Basis'!B143</f>
        <v>Mittelwert technische Steuerkraft 2021/2022</v>
      </c>
      <c r="C144" s="14">
        <f>HLOOKUP(C$9,'Ressourcenausgleich Basis'!$C$8:$BZ$151,136,FALSE)</f>
        <v>3485.6540623381225</v>
      </c>
      <c r="D144" s="14" t="e">
        <f>HLOOKUP(D$9,'Ressourcenausgleich Basis'!$C$8:$BZ$151,136,FALSE)</f>
        <v>#N/A</v>
      </c>
    </row>
    <row r="145" spans="1:4" x14ac:dyDescent="0.2">
      <c r="A145" s="4"/>
      <c r="B145" s="4" t="str">
        <f>'Ressourcenausgleich Basis'!B144</f>
        <v>in %</v>
      </c>
      <c r="C145" s="49">
        <f>HLOOKUP(C$9,'Ressourcenausgleich Basis'!$C$8:$BZ$151,137,FALSE)</f>
        <v>1</v>
      </c>
      <c r="D145" s="49" t="e">
        <f>HLOOKUP(D$9,'Ressourcenausgleich Basis'!$C$8:$BZ$151,137,FALSE)</f>
        <v>#N/A</v>
      </c>
    </row>
    <row r="146" spans="1:4" x14ac:dyDescent="0.2">
      <c r="A146" s="4"/>
      <c r="B146" s="4"/>
      <c r="C146" s="4"/>
      <c r="D146" s="4"/>
    </row>
    <row r="147" spans="1:4" x14ac:dyDescent="0.2">
      <c r="C147" s="3"/>
      <c r="D147" s="3"/>
    </row>
    <row r="148" spans="1:4" ht="15.75" x14ac:dyDescent="0.25">
      <c r="A148" s="20" t="s">
        <v>101</v>
      </c>
      <c r="B148" s="20" t="str">
        <f>'Ressourcenausgleich Basis'!B147</f>
        <v>Berechnung Ressourcenausgleichsbeitrag</v>
      </c>
      <c r="C148" s="34"/>
      <c r="D148" s="34"/>
    </row>
    <row r="149" spans="1:4" x14ac:dyDescent="0.2">
      <c r="C149" s="3"/>
      <c r="D149" s="3"/>
    </row>
    <row r="150" spans="1:4" x14ac:dyDescent="0.2">
      <c r="B150" t="str">
        <f>'Ressourcenausgleich Basis'!B149</f>
        <v>Ausgleichsfaktor</v>
      </c>
      <c r="C150" s="8">
        <f>HLOOKUP(C$9,'Ressourcenausgleich Basis'!$C$8:$BZ$151,142,FALSE)</f>
        <v>0.96</v>
      </c>
      <c r="D150" s="3"/>
    </row>
    <row r="151" spans="1:4" x14ac:dyDescent="0.2">
      <c r="C151" s="3"/>
      <c r="D151" s="3"/>
    </row>
    <row r="152" spans="1:4" x14ac:dyDescent="0.2">
      <c r="A152" s="38"/>
      <c r="B152" s="38" t="str">
        <f>'Ressourcenausgleich Basis'!B151</f>
        <v>Ressourcenausgleichsbeitrag</v>
      </c>
      <c r="C152" s="39">
        <f>HLOOKUP(C$9,'Ressourcenausgleich Basis'!$C$8:$BZ$151,144,FALSE)</f>
        <v>114439500</v>
      </c>
      <c r="D152" s="39" t="e">
        <f>HLOOKUP(D$9,'Ressourcenausgleich Basis'!$C$8:$BZ$151,144,FALSE)</f>
        <v>#N/A</v>
      </c>
    </row>
  </sheetData>
  <sheetProtection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D75"/>
  <sheetViews>
    <sheetView showGridLines="0" topLeftCell="A43" workbookViewId="0">
      <selection activeCell="A90" sqref="A90"/>
    </sheetView>
  </sheetViews>
  <sheetFormatPr baseColWidth="10" defaultRowHeight="12.75" x14ac:dyDescent="0.2"/>
  <cols>
    <col min="1" max="1" width="4.140625" bestFit="1" customWidth="1"/>
    <col min="2" max="2" width="48.85546875" customWidth="1"/>
    <col min="3" max="3" width="22.42578125" customWidth="1"/>
    <col min="4" max="4" width="22.42578125" bestFit="1" customWidth="1"/>
  </cols>
  <sheetData>
    <row r="1" spans="1:4" x14ac:dyDescent="0.2">
      <c r="A1" s="19" t="s">
        <v>194</v>
      </c>
    </row>
    <row r="2" spans="1:4" x14ac:dyDescent="0.2">
      <c r="A2" t="s">
        <v>195</v>
      </c>
    </row>
    <row r="5" spans="1:4" ht="26.25" x14ac:dyDescent="0.4">
      <c r="A5" s="16" t="s">
        <v>234</v>
      </c>
    </row>
    <row r="7" spans="1:4" x14ac:dyDescent="0.2">
      <c r="B7" s="18" t="s">
        <v>203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Weite Basis'!B10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Weite Basis'!B12</f>
        <v>Einwohnerzahl per 31.12.</v>
      </c>
      <c r="C13" s="43">
        <f>HLOOKUP(C$9,'SL Weite Basis'!$C$8:$BZ$74,5,FALSE)</f>
        <v>525967</v>
      </c>
      <c r="D13" s="64" t="e">
        <f>HLOOKUP(D$9,'SL Weite Basis'!$C$8:$BZ$74,5,FALSE)</f>
        <v>#N/A</v>
      </c>
    </row>
    <row r="14" spans="1:4" x14ac:dyDescent="0.2">
      <c r="C14" s="3"/>
      <c r="D14" s="3"/>
    </row>
    <row r="15" spans="1:4" x14ac:dyDescent="0.2">
      <c r="C15" s="3"/>
      <c r="D15" s="3"/>
    </row>
    <row r="16" spans="1:4" ht="15.75" x14ac:dyDescent="0.25">
      <c r="A16" s="20" t="s">
        <v>98</v>
      </c>
      <c r="B16" s="20" t="str">
        <f>'SL Weite Basis'!B15</f>
        <v>Berechnung Sonderlastenausgleich Weite</v>
      </c>
      <c r="C16" s="34"/>
      <c r="D16" s="34"/>
    </row>
    <row r="17" spans="1:4" x14ac:dyDescent="0.2">
      <c r="C17" s="3"/>
      <c r="D17" s="3"/>
    </row>
    <row r="18" spans="1:4" x14ac:dyDescent="0.2">
      <c r="A18" s="46" t="s">
        <v>128</v>
      </c>
      <c r="B18" s="44" t="str">
        <f>'SL Weite Basis'!B17</f>
        <v>Länge des Strassennetzes</v>
      </c>
      <c r="C18" s="45"/>
      <c r="D18" s="45"/>
    </row>
    <row r="19" spans="1:4" x14ac:dyDescent="0.2">
      <c r="C19" s="3"/>
      <c r="D19" s="3"/>
    </row>
    <row r="20" spans="1:4" x14ac:dyDescent="0.2">
      <c r="B20" t="str">
        <f>'SL Weite Basis'!B19</f>
        <v>gewichtete Strassenlänge in km per 31.12.</v>
      </c>
      <c r="C20" s="54">
        <f>HLOOKUP(C$9,'SL Weite Basis'!$C$8:$BZ$74,12,FALSE)</f>
        <v>125333.30899999996</v>
      </c>
      <c r="D20" s="10" t="e">
        <f>HLOOKUP(D$9,'SL Weite Basis'!$C$8:$BZ$74,12,FALSE)</f>
        <v>#N/A</v>
      </c>
    </row>
    <row r="21" spans="1:4" x14ac:dyDescent="0.2">
      <c r="B21" t="str">
        <f>'SL Weite Basis'!B20</f>
        <v xml:space="preserve">gewichtete Strassenlänge in km pro Einwohner </v>
      </c>
      <c r="C21" s="3"/>
      <c r="D21" s="3" t="e">
        <f>HLOOKUP(D$9,'SL Weite Basis'!$C$8:$BZ$74,13,FALSE)</f>
        <v>#N/A</v>
      </c>
    </row>
    <row r="22" spans="1:4" x14ac:dyDescent="0.2">
      <c r="B22" t="str">
        <f>'SL Weite Basis'!B21</f>
        <v>Pauschalbeitrag je gewichtetem Kilometer</v>
      </c>
      <c r="C22" s="10">
        <f>HLOOKUP(C$9,'SL Weite Basis'!$C$8:$BZ$74,14,FALSE)</f>
        <v>1166</v>
      </c>
      <c r="D22" s="3"/>
    </row>
    <row r="23" spans="1:4" x14ac:dyDescent="0.2">
      <c r="B23" t="str">
        <f>'SL Weite Basis'!B22</f>
        <v>Beitrag je Einwohner</v>
      </c>
      <c r="C23" s="3"/>
      <c r="D23" s="3" t="e">
        <f>HLOOKUP(D$9,'SL Weite Basis'!$C$8:$BZ$74,15,FALSE)</f>
        <v>#N/A</v>
      </c>
    </row>
    <row r="24" spans="1:4" x14ac:dyDescent="0.2">
      <c r="C24" s="3"/>
      <c r="D24" s="3"/>
    </row>
    <row r="25" spans="1:4" x14ac:dyDescent="0.2">
      <c r="A25" s="19"/>
      <c r="B25" s="19" t="str">
        <f>'SL Weite Basis'!B24</f>
        <v>Sonderlast total</v>
      </c>
      <c r="C25" s="13"/>
      <c r="D25" s="13" t="e">
        <f>HLOOKUP(D$9,'SL Weite Basis'!$C$8:$BZ$74,17,FALSE)</f>
        <v>#N/A</v>
      </c>
    </row>
    <row r="26" spans="1:4" x14ac:dyDescent="0.2">
      <c r="C26" s="3"/>
      <c r="D26" s="3"/>
    </row>
    <row r="27" spans="1:4" x14ac:dyDescent="0.2">
      <c r="A27" s="46" t="s">
        <v>129</v>
      </c>
      <c r="B27" s="44" t="str">
        <f>'SL Weite Basis'!B26</f>
        <v>Wohnbevölkerung mit Wohnsitz über 800 Metern über Meer</v>
      </c>
      <c r="C27" s="45"/>
      <c r="D27" s="45"/>
    </row>
    <row r="28" spans="1:4" x14ac:dyDescent="0.2">
      <c r="C28" s="3"/>
      <c r="D28" s="3"/>
    </row>
    <row r="29" spans="1:4" x14ac:dyDescent="0.2">
      <c r="B29" t="str">
        <f>'SL Weite Basis'!B28</f>
        <v>Einwohner über 800m per 31.12.</v>
      </c>
      <c r="C29" s="43">
        <f>HLOOKUP(C$9,'SL Weite Basis'!$C$8:$BZ$74,21,FALSE)</f>
        <v>21423</v>
      </c>
      <c r="D29" s="36" t="e">
        <f>HLOOKUP(D$9,'SL Weite Basis'!$C$8:$BZ$74,21,FALSE)</f>
        <v>#N/A</v>
      </c>
    </row>
    <row r="30" spans="1:4" x14ac:dyDescent="0.2">
      <c r="B30" t="str">
        <f>'SL Weite Basis'!B29</f>
        <v>Anteil an Gesamtbevölkerung</v>
      </c>
      <c r="C30" s="3"/>
      <c r="D30" s="3" t="e">
        <f>HLOOKUP(D$9,'SL Weite Basis'!$C$8:$BZ$74,22,FALSE)</f>
        <v>#N/A</v>
      </c>
    </row>
    <row r="31" spans="1:4" x14ac:dyDescent="0.2">
      <c r="B31" t="str">
        <f>'SL Weite Basis'!B30</f>
        <v>Pauschalbeitrag je Einwohner</v>
      </c>
      <c r="C31" s="10">
        <f>HLOOKUP(C$9,'SL Weite Basis'!$C$8:$BZ$74,23,FALSE)</f>
        <v>134</v>
      </c>
      <c r="D31" s="3"/>
    </row>
    <row r="32" spans="1:4" x14ac:dyDescent="0.2">
      <c r="B32" t="str">
        <f>'SL Weite Basis'!B31</f>
        <v>Beitrag je Einwohner</v>
      </c>
      <c r="C32" s="3"/>
      <c r="D32" s="3" t="e">
        <f>HLOOKUP(D$9,'SL Weite Basis'!$C$8:$BZ$74,24,FALSE)</f>
        <v>#N/A</v>
      </c>
    </row>
    <row r="33" spans="1:4" x14ac:dyDescent="0.2">
      <c r="C33" s="3"/>
      <c r="D33" s="3"/>
    </row>
    <row r="34" spans="1:4" x14ac:dyDescent="0.2">
      <c r="A34" s="19"/>
      <c r="B34" s="19" t="str">
        <f>'SL Weite Basis'!B33</f>
        <v>Sonderlast total</v>
      </c>
      <c r="C34" s="13"/>
      <c r="D34" s="13" t="e">
        <f>HLOOKUP(D$9,'SL Weite Basis'!$C$8:$BZ$74,26,FALSE)</f>
        <v>#N/A</v>
      </c>
    </row>
    <row r="35" spans="1:4" x14ac:dyDescent="0.2">
      <c r="C35" s="3"/>
      <c r="D35" s="3"/>
    </row>
    <row r="36" spans="1:4" x14ac:dyDescent="0.2">
      <c r="A36" s="46" t="s">
        <v>137</v>
      </c>
      <c r="B36" s="44" t="str">
        <f>'SL Weite Basis'!B35</f>
        <v>Streuung des Siedlungsgebiets</v>
      </c>
      <c r="C36" s="45"/>
      <c r="D36" s="45"/>
    </row>
    <row r="37" spans="1:4" x14ac:dyDescent="0.2">
      <c r="C37" s="3"/>
      <c r="D37" s="3"/>
    </row>
    <row r="38" spans="1:4" x14ac:dyDescent="0.2">
      <c r="B38" t="str">
        <f>'SL Weite Basis'!B37</f>
        <v>Streuung des Siedlungsgebiets per 31.12.</v>
      </c>
      <c r="C38" s="54">
        <f>HLOOKUP(C$9,'SL Weite Basis'!$C$8:$BZ$74,30,FALSE)</f>
        <v>89549.452270218171</v>
      </c>
      <c r="D38" s="10" t="e">
        <f>HLOOKUP(D$9,'SL Weite Basis'!$C$8:$BZ$74,30,FALSE)</f>
        <v>#N/A</v>
      </c>
    </row>
    <row r="39" spans="1:4" x14ac:dyDescent="0.2">
      <c r="B39" t="str">
        <f>'SL Weite Basis'!B38</f>
        <v>Pauschalbeitrag je Einwohner</v>
      </c>
      <c r="C39" s="55">
        <f>HLOOKUP(C$9,'SL Weite Basis'!$C$8:$BZ$74,31,FALSE)</f>
        <v>8.0000000000000002E-3</v>
      </c>
      <c r="D39" s="3"/>
    </row>
    <row r="40" spans="1:4" x14ac:dyDescent="0.2">
      <c r="B40" t="str">
        <f>'SL Weite Basis'!B39</f>
        <v>Beitrag je Einwohner</v>
      </c>
      <c r="C40" s="3"/>
      <c r="D40" s="3" t="e">
        <f>HLOOKUP(D$9,'SL Weite Basis'!$C$8:$BZ$74,32,FALSE)</f>
        <v>#N/A</v>
      </c>
    </row>
    <row r="41" spans="1:4" x14ac:dyDescent="0.2">
      <c r="C41" s="3"/>
      <c r="D41" s="3"/>
    </row>
    <row r="42" spans="1:4" x14ac:dyDescent="0.2">
      <c r="A42" s="19"/>
      <c r="B42" s="19" t="str">
        <f>'SL Weite Basis'!B41</f>
        <v>Sonderlast total</v>
      </c>
      <c r="C42" s="13"/>
      <c r="D42" s="13" t="e">
        <f>HLOOKUP(D$9,'SL Weite Basis'!$C$8:$BZ$74,34,FALSE)</f>
        <v>#N/A</v>
      </c>
    </row>
    <row r="43" spans="1:4" x14ac:dyDescent="0.2">
      <c r="C43" s="3"/>
      <c r="D43" s="3"/>
    </row>
    <row r="44" spans="1:4" x14ac:dyDescent="0.2">
      <c r="A44" s="46" t="s">
        <v>143</v>
      </c>
      <c r="B44" s="44" t="str">
        <f>'SL Weite Basis'!B43</f>
        <v>geringe Einwohnerdichte</v>
      </c>
      <c r="C44" s="45"/>
      <c r="D44" s="45"/>
    </row>
    <row r="45" spans="1:4" x14ac:dyDescent="0.2">
      <c r="C45" s="3"/>
      <c r="D45" s="3"/>
    </row>
    <row r="46" spans="1:4" x14ac:dyDescent="0.2">
      <c r="B46" t="str">
        <f>'SL Weite Basis'!B45</f>
        <v>Gemeindefläche in ha per 31.12.</v>
      </c>
      <c r="C46" s="54">
        <f>HLOOKUP(C$9,'SL Weite Basis'!$C$8:$BZ$74,38,FALSE)</f>
        <v>198379.10652</v>
      </c>
      <c r="D46" s="10" t="e">
        <f>HLOOKUP(D$9,'SL Weite Basis'!$C$8:$BZ$74,38,FALSE)</f>
        <v>#N/A</v>
      </c>
    </row>
    <row r="47" spans="1:4" x14ac:dyDescent="0.2">
      <c r="B47" t="str">
        <f>'SL Weite Basis'!B46</f>
        <v>Gemeindefläche je Einwohner</v>
      </c>
      <c r="C47" s="3"/>
      <c r="D47" s="3" t="e">
        <f>HLOOKUP(D$9,'SL Weite Basis'!$C$8:$BZ$74,39,FALSE)</f>
        <v>#N/A</v>
      </c>
    </row>
    <row r="48" spans="1:4" x14ac:dyDescent="0.2">
      <c r="B48" t="str">
        <f>'SL Weite Basis'!B47</f>
        <v>Pauschalbeitrag je ha je Einwohner</v>
      </c>
      <c r="C48" s="10">
        <f>HLOOKUP(C$9,'SL Weite Basis'!$C$8:$BZ$74,40,FALSE)</f>
        <v>29</v>
      </c>
      <c r="D48" s="3"/>
    </row>
    <row r="49" spans="1:4" x14ac:dyDescent="0.2">
      <c r="B49" t="str">
        <f>'SL Weite Basis'!B48</f>
        <v>Beitrag je Einwohner</v>
      </c>
      <c r="C49" s="3"/>
      <c r="D49" s="3" t="e">
        <f>HLOOKUP(D$9,'SL Weite Basis'!$C$8:$BZ$74,41,FALSE)</f>
        <v>#N/A</v>
      </c>
    </row>
    <row r="50" spans="1:4" x14ac:dyDescent="0.2">
      <c r="C50" s="3"/>
      <c r="D50" s="3"/>
    </row>
    <row r="51" spans="1:4" x14ac:dyDescent="0.2">
      <c r="A51" s="19"/>
      <c r="B51" s="19" t="str">
        <f>'SL Weite Basis'!B50</f>
        <v>Sonderlast total</v>
      </c>
      <c r="C51" s="13"/>
      <c r="D51" s="13" t="e">
        <f>HLOOKUP(D$9,'SL Weite Basis'!$C$8:$BZ$74,43,FALSE)</f>
        <v>#N/A</v>
      </c>
    </row>
    <row r="52" spans="1:4" x14ac:dyDescent="0.2">
      <c r="C52" s="3"/>
      <c r="D52" s="3"/>
    </row>
    <row r="53" spans="1:4" x14ac:dyDescent="0.2">
      <c r="A53" s="46" t="s">
        <v>154</v>
      </c>
      <c r="B53" s="44" t="str">
        <f>'SL Weite Basis'!B52</f>
        <v>Korrekturwert</v>
      </c>
      <c r="C53" s="45"/>
      <c r="D53" s="45"/>
    </row>
    <row r="54" spans="1:4" x14ac:dyDescent="0.2">
      <c r="C54" s="3"/>
      <c r="D54" s="3"/>
    </row>
    <row r="55" spans="1:4" x14ac:dyDescent="0.2">
      <c r="B55" t="str">
        <f>'SL Weite Basis'!B54</f>
        <v>Korrekturwert je Einwohner für mittlere Belastung</v>
      </c>
      <c r="C55" s="10">
        <f>HLOOKUP(C$9,'SL Weite Basis'!$C$8:$BZ$74,47,FALSE)</f>
        <v>320</v>
      </c>
      <c r="D55" s="3"/>
    </row>
    <row r="56" spans="1:4" x14ac:dyDescent="0.2">
      <c r="C56" s="3"/>
      <c r="D56" s="3"/>
    </row>
    <row r="57" spans="1:4" x14ac:dyDescent="0.2">
      <c r="A57" s="19"/>
      <c r="B57" s="19" t="str">
        <f>'SL Weite Basis'!B56</f>
        <v>Minderlast total</v>
      </c>
      <c r="C57" s="13"/>
      <c r="D57" s="13" t="e">
        <f>HLOOKUP(D$9,'SL Weite Basis'!$C$8:$BZ$74,49,FALSE)</f>
        <v>#N/A</v>
      </c>
    </row>
    <row r="58" spans="1:4" x14ac:dyDescent="0.2">
      <c r="C58" s="3"/>
      <c r="D58" s="3"/>
    </row>
    <row r="59" spans="1:4" x14ac:dyDescent="0.2">
      <c r="A59" s="46" t="s">
        <v>155</v>
      </c>
      <c r="B59" s="44" t="str">
        <f>'SL Weite Basis'!B58</f>
        <v>Sonderlastenausgleich Weite (vor allfälliger Kürzung)</v>
      </c>
      <c r="C59" s="45"/>
      <c r="D59" s="45"/>
    </row>
    <row r="60" spans="1:4" x14ac:dyDescent="0.2">
      <c r="C60" s="3"/>
      <c r="D60" s="3"/>
    </row>
    <row r="61" spans="1:4" x14ac:dyDescent="0.2">
      <c r="A61" s="46" t="s">
        <v>156</v>
      </c>
      <c r="B61" s="44" t="str">
        <f>'SL Weite Basis'!B60</f>
        <v>Kürzung infolge hoher technischer Steuerkraft</v>
      </c>
      <c r="C61" s="50"/>
      <c r="D61" s="50"/>
    </row>
    <row r="62" spans="1:4" x14ac:dyDescent="0.2">
      <c r="C62" s="3"/>
      <c r="D62" s="3"/>
    </row>
    <row r="63" spans="1:4" x14ac:dyDescent="0.2">
      <c r="B63" t="str">
        <f>'SL Weite Basis'!B62</f>
        <v>Technische Steuerkraft in % zum kantonalen Durchschnitt</v>
      </c>
      <c r="C63" s="3"/>
      <c r="D63" s="49" t="e">
        <f>HLOOKUP(D$9,'SL Weite Basis'!$C$8:$BZ$74,55,FALSE)</f>
        <v>#N/A</v>
      </c>
    </row>
    <row r="64" spans="1:4" x14ac:dyDescent="0.2">
      <c r="C64" s="3"/>
      <c r="D64" s="49"/>
    </row>
    <row r="65" spans="1:4" x14ac:dyDescent="0.2">
      <c r="B65" t="str">
        <f>'SL Weite Basis'!B64</f>
        <v>Kürzungsfaktor in %</v>
      </c>
      <c r="C65" s="3"/>
      <c r="D65" s="49" t="e">
        <f>HLOOKUP(D$9,'SL Weite Basis'!$C$8:$BZ$74,57,FALSE)</f>
        <v>#N/A</v>
      </c>
    </row>
    <row r="66" spans="1:4" x14ac:dyDescent="0.2">
      <c r="A66" s="3"/>
      <c r="B66" s="3" t="str">
        <f>'SL Weite Basis'!B65</f>
        <v>Kürzung in Fr.</v>
      </c>
      <c r="C66" s="3"/>
      <c r="D66" s="3" t="e">
        <f>HLOOKUP(D$9,'SL Weite Basis'!$C$8:$BZ$74,58,FALSE)</f>
        <v>#N/A</v>
      </c>
    </row>
    <row r="67" spans="1:4" x14ac:dyDescent="0.2">
      <c r="C67" s="3"/>
      <c r="D67" s="3"/>
    </row>
    <row r="68" spans="1:4" x14ac:dyDescent="0.2">
      <c r="C68" s="3"/>
      <c r="D68" s="3"/>
    </row>
    <row r="69" spans="1:4" ht="15.75" x14ac:dyDescent="0.25">
      <c r="A69" s="51" t="s">
        <v>99</v>
      </c>
      <c r="B69" s="51" t="str">
        <f>'SL Weite Basis'!B68</f>
        <v>Zusammenfassung</v>
      </c>
      <c r="C69" s="52"/>
      <c r="D69" s="52"/>
    </row>
    <row r="70" spans="1:4" x14ac:dyDescent="0.2">
      <c r="C70" s="3"/>
      <c r="D70" s="3"/>
    </row>
    <row r="71" spans="1:4" x14ac:dyDescent="0.2">
      <c r="A71" s="19"/>
      <c r="B71" s="19" t="str">
        <f>'SL Weite Basis'!B70</f>
        <v>Sonderlastenausgleich Weite (vor allfälliger Kürzung)</v>
      </c>
      <c r="C71" s="13">
        <f>HLOOKUP(C$9,'SL Weite Basis'!$C$8:$BZ$74,63,FALSE)</f>
        <v>38889314.367285684</v>
      </c>
      <c r="D71" s="13" t="e">
        <f>HLOOKUP(D$9,'SL Weite Basis'!$C$8:$BZ$74,63,FALSE)</f>
        <v>#N/A</v>
      </c>
    </row>
    <row r="72" spans="1:4" x14ac:dyDescent="0.2">
      <c r="A72" s="19"/>
      <c r="B72" s="19"/>
      <c r="C72" s="3"/>
      <c r="D72" s="13"/>
    </row>
    <row r="73" spans="1:4" x14ac:dyDescent="0.2">
      <c r="B73" t="str">
        <f>'SL Weite Basis'!B72</f>
        <v>Kürzung infolge hoher technischer Steuerkraft</v>
      </c>
      <c r="C73" s="3">
        <f>HLOOKUP(C$9,'SL Weite Basis'!$C$8:$BZ$74,65,FALSE)</f>
        <v>-2201500.3015161199</v>
      </c>
      <c r="D73" s="3" t="e">
        <f>HLOOKUP(D$9,'SL Weite Basis'!$C$8:$BZ$74,65,FALSE)</f>
        <v>#N/A</v>
      </c>
    </row>
    <row r="74" spans="1:4" x14ac:dyDescent="0.2">
      <c r="C74" s="3"/>
      <c r="D74" s="3"/>
    </row>
    <row r="75" spans="1:4" x14ac:dyDescent="0.2">
      <c r="A75" s="38"/>
      <c r="B75" s="38" t="str">
        <f>'SL Weite Basis'!B74</f>
        <v>Beitrag Sonderlastenausgleich Weite</v>
      </c>
      <c r="C75" s="39">
        <f>HLOOKUP(C$9,'SL Weite Basis'!$C$8:$BZ$74,67,FALSE)</f>
        <v>36687900</v>
      </c>
      <c r="D75" s="39" t="e">
        <f>HLOOKUP(D$9,'SL Weite Basis'!$C$8:$BZ$74,67,FALSE)</f>
        <v>#N/A</v>
      </c>
    </row>
  </sheetData>
  <sheetProtection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Ressourcenausgleich Basis</vt:lpstr>
      <vt:lpstr>SL Weite Basis</vt:lpstr>
      <vt:lpstr>SL Schule Basis</vt:lpstr>
      <vt:lpstr>SL Sozio Basis</vt:lpstr>
      <vt:lpstr>SL Stadt SG Basis</vt:lpstr>
      <vt:lpstr>Total</vt:lpstr>
      <vt:lpstr>Finanzausgleichsbeiträge</vt:lpstr>
      <vt:lpstr>Details Ressourcenausgleich</vt:lpstr>
      <vt:lpstr>Details SL Weite</vt:lpstr>
      <vt:lpstr>Details SL Schule</vt:lpstr>
      <vt:lpstr>Details SL Sozio</vt:lpstr>
      <vt:lpstr>Details SL Stadt SG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Gemperle, Mario</dc:creator>
  <cp:lastModifiedBy>Gemperle Mario DI-AfGB-Sup</cp:lastModifiedBy>
  <cp:lastPrinted>2024-05-27T09:36:02Z</cp:lastPrinted>
  <dcterms:created xsi:type="dcterms:W3CDTF">2020-07-23T07:04:43Z</dcterms:created>
  <dcterms:modified xsi:type="dcterms:W3CDTF">2025-07-25T12:51:54Z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9d30b8-e020-4783-b454-ac0e88601419_Enabled">
    <vt:lpwstr>true</vt:lpwstr>
  </property>
  <property fmtid="{D5CDD505-2E9C-101B-9397-08002B2CF9AE}" pid="3" name="MSIP_Label_b29d30b8-e020-4783-b454-ac0e88601419_SetDate">
    <vt:lpwstr>2025-07-25T12:44:57Z</vt:lpwstr>
  </property>
  <property fmtid="{D5CDD505-2E9C-101B-9397-08002B2CF9AE}" pid="4" name="MSIP_Label_b29d30b8-e020-4783-b454-ac0e88601419_Method">
    <vt:lpwstr>Standard</vt:lpwstr>
  </property>
  <property fmtid="{D5CDD505-2E9C-101B-9397-08002B2CF9AE}" pid="5" name="MSIP_Label_b29d30b8-e020-4783-b454-ac0e88601419_Name">
    <vt:lpwstr>Intern</vt:lpwstr>
  </property>
  <property fmtid="{D5CDD505-2E9C-101B-9397-08002B2CF9AE}" pid="6" name="MSIP_Label_b29d30b8-e020-4783-b454-ac0e88601419_SiteId">
    <vt:lpwstr>9cada478-1b84-4f69-a38a-79dfbc4ee5c8</vt:lpwstr>
  </property>
  <property fmtid="{D5CDD505-2E9C-101B-9397-08002B2CF9AE}" pid="7" name="MSIP_Label_b29d30b8-e020-4783-b454-ac0e88601419_ActionId">
    <vt:lpwstr>f5a29149-c7d5-472e-9e93-065e4aabbf62</vt:lpwstr>
  </property>
  <property fmtid="{D5CDD505-2E9C-101B-9397-08002B2CF9AE}" pid="8" name="MSIP_Label_b29d30b8-e020-4783-b454-ac0e88601419_ContentBits">
    <vt:lpwstr>0</vt:lpwstr>
  </property>
  <property fmtid="{D5CDD505-2E9C-101B-9397-08002B2CF9AE}" pid="9" name="MSIP_Label_b29d30b8-e020-4783-b454-ac0e88601419_Tag">
    <vt:lpwstr>10, 3, 0, 1</vt:lpwstr>
  </property>
</Properties>
</file>