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root\4\4\1490\Alle Stufen\"/>
    </mc:Choice>
  </mc:AlternateContent>
  <bookViews>
    <workbookView xWindow="0" yWindow="0" windowWidth="28800" windowHeight="12630"/>
  </bookViews>
  <sheets>
    <sheet name="FAG2019" sheetId="2" r:id="rId1"/>
    <sheet name="Basis" sheetId="1" r:id="rId2"/>
  </sheets>
  <calcPr calcId="162913"/>
</workbook>
</file>

<file path=xl/calcChain.xml><?xml version="1.0" encoding="utf-8"?>
<calcChain xmlns="http://schemas.openxmlformats.org/spreadsheetml/2006/main">
  <c r="B86" i="2" l="1"/>
  <c r="B51" i="2"/>
  <c r="B33" i="2"/>
  <c r="B24" i="2"/>
  <c r="B3" i="2"/>
  <c r="B130" i="2"/>
  <c r="B126" i="2"/>
  <c r="B117" i="2"/>
  <c r="B111" i="2"/>
  <c r="B83" i="2"/>
  <c r="B76" i="2"/>
  <c r="B67" i="2"/>
  <c r="B58" i="2"/>
  <c r="B48" i="2"/>
  <c r="B30" i="2"/>
  <c r="B109" i="2" l="1"/>
  <c r="B99" i="2"/>
  <c r="E114" i="2"/>
  <c r="E115" i="2" s="1"/>
  <c r="B122" i="2"/>
  <c r="E108" i="2"/>
  <c r="E107" i="2"/>
  <c r="E96" i="2"/>
  <c r="E106" i="2"/>
  <c r="E104" i="2"/>
  <c r="E103" i="2"/>
  <c r="E97" i="2"/>
  <c r="E75" i="2"/>
  <c r="E74" i="2"/>
  <c r="E66" i="2"/>
  <c r="E91" i="2"/>
  <c r="E116" i="2" l="1"/>
  <c r="E98" i="2" l="1"/>
  <c r="E95" i="2"/>
  <c r="E92" i="2"/>
  <c r="E93" i="2" s="1"/>
  <c r="E130" i="2"/>
  <c r="E125" i="2"/>
  <c r="E124" i="2"/>
  <c r="E105" i="2"/>
  <c r="E109" i="2" s="1"/>
  <c r="E94" i="2"/>
  <c r="E73" i="2"/>
  <c r="E64" i="2"/>
  <c r="E56" i="2"/>
  <c r="E47" i="2"/>
  <c r="E90" i="2"/>
  <c r="E99" i="2" l="1"/>
  <c r="E111" i="2" s="1"/>
  <c r="E72" i="2"/>
  <c r="E71" i="2"/>
  <c r="E65" i="2"/>
  <c r="E63" i="2"/>
  <c r="E62" i="2"/>
  <c r="E76" i="2" l="1"/>
  <c r="E54" i="2"/>
  <c r="E57" i="2"/>
  <c r="E55" i="2"/>
  <c r="E44" i="2"/>
  <c r="E58" i="2" l="1"/>
  <c r="E46" i="2"/>
  <c r="E45" i="2"/>
  <c r="E42" i="2"/>
  <c r="E40" i="2" l="1"/>
  <c r="E39" i="2"/>
  <c r="E38" i="2"/>
  <c r="E37" i="2"/>
  <c r="E29" i="2"/>
  <c r="E28" i="2"/>
  <c r="E27" i="2"/>
  <c r="E26" i="2"/>
  <c r="E41" i="2" l="1"/>
  <c r="E43" i="2" s="1"/>
  <c r="E48" i="2" s="1"/>
  <c r="B93" i="2"/>
  <c r="B92" i="2"/>
  <c r="B82" i="2"/>
  <c r="B81" i="2"/>
  <c r="B80" i="2"/>
  <c r="B72" i="2"/>
  <c r="B71" i="2"/>
  <c r="B63" i="2"/>
  <c r="B62" i="2"/>
  <c r="B55" i="2"/>
  <c r="B54" i="2"/>
  <c r="B40" i="2"/>
  <c r="B38" i="2"/>
  <c r="B37" i="2"/>
  <c r="B41" i="2"/>
  <c r="B43" i="2"/>
  <c r="E30" i="2" l="1"/>
  <c r="E126" i="2" l="1"/>
  <c r="E16" i="2" s="1"/>
  <c r="E122" i="2"/>
  <c r="E67" i="2"/>
  <c r="E81" i="2" s="1"/>
  <c r="E80" i="2"/>
  <c r="B125" i="2"/>
  <c r="B124" i="2"/>
  <c r="B114" i="2"/>
  <c r="B105" i="2"/>
  <c r="B104" i="2"/>
  <c r="B103" i="2"/>
  <c r="B94" i="2"/>
  <c r="B91" i="2"/>
  <c r="B90" i="2"/>
  <c r="B73" i="2"/>
  <c r="B64" i="2"/>
  <c r="B56" i="2"/>
  <c r="B44" i="2"/>
  <c r="B29" i="2"/>
  <c r="B28" i="2"/>
  <c r="B27" i="2"/>
  <c r="E83" i="2" l="1"/>
  <c r="E82" i="2"/>
  <c r="D99" i="2"/>
  <c r="E11" i="2"/>
  <c r="E12" i="2"/>
  <c r="E117" i="2"/>
  <c r="D126" i="2"/>
  <c r="E17" i="2"/>
  <c r="E13" i="2" l="1"/>
  <c r="E15" i="2"/>
  <c r="E14" i="2" l="1"/>
  <c r="E18" i="2" s="1"/>
  <c r="E19" i="2" s="1"/>
  <c r="D111" i="2"/>
</calcChain>
</file>

<file path=xl/sharedStrings.xml><?xml version="1.0" encoding="utf-8"?>
<sst xmlns="http://schemas.openxmlformats.org/spreadsheetml/2006/main" count="435" uniqueCount="264">
  <si>
    <t>Nr.</t>
  </si>
  <si>
    <t>Gemeinde</t>
  </si>
  <si>
    <t>Ressourcen-
ausgleich</t>
  </si>
  <si>
    <t>Sonderlasten-ausgleich Weite</t>
  </si>
  <si>
    <t>Sonderlasten-ausgleich Schule</t>
  </si>
  <si>
    <t>Sonderlasten-ausgleich Soziales</t>
  </si>
  <si>
    <t>Nettoaufwand für finanzielle Sozialhilfe</t>
  </si>
  <si>
    <t>Nettoaufwand für stationäre Pflege</t>
  </si>
  <si>
    <t>Einkommens- und Vermögenssteuer</t>
  </si>
  <si>
    <t>Quellensteuer</t>
  </si>
  <si>
    <t>Gewinn- und Kapitalsteuer</t>
  </si>
  <si>
    <t>Grundsteuer</t>
  </si>
  <si>
    <t>Technische Steuerkraft pro Einwohner der Gemeinde</t>
  </si>
  <si>
    <t>Ausgleichsfaktor nach Art. 9 FAG</t>
  </si>
  <si>
    <t>Beitrag Stadt nach Art. 25 Abs. 1 FAG</t>
  </si>
  <si>
    <t>Beitrag Stadt nach Art. 25 Abs. 2 FAG</t>
  </si>
  <si>
    <t>St.Gallen</t>
  </si>
  <si>
    <t>Wittenbach</t>
  </si>
  <si>
    <t>Häggenschwil</t>
  </si>
  <si>
    <t>Muolen</t>
  </si>
  <si>
    <t>Mörschwil</t>
  </si>
  <si>
    <t>Goldach</t>
  </si>
  <si>
    <t>Steinach</t>
  </si>
  <si>
    <t>Berg</t>
  </si>
  <si>
    <t>Tübach</t>
  </si>
  <si>
    <t>Untereggen</t>
  </si>
  <si>
    <t>Eggersriet</t>
  </si>
  <si>
    <t>Rorschacherberg</t>
  </si>
  <si>
    <t>Rorschach</t>
  </si>
  <si>
    <t>Thal</t>
  </si>
  <si>
    <t>Rheineck</t>
  </si>
  <si>
    <t>St.Margrethen</t>
  </si>
  <si>
    <t>Au</t>
  </si>
  <si>
    <t>Berneck</t>
  </si>
  <si>
    <t>Balgach</t>
  </si>
  <si>
    <t>Diepoldsau</t>
  </si>
  <si>
    <t>Widnau</t>
  </si>
  <si>
    <t>Rebstein</t>
  </si>
  <si>
    <t>Marbach</t>
  </si>
  <si>
    <t>Altstätten</t>
  </si>
  <si>
    <t>Eichberg</t>
  </si>
  <si>
    <t>Oberriet</t>
  </si>
  <si>
    <t>Rüthi</t>
  </si>
  <si>
    <t>Sennwald</t>
  </si>
  <si>
    <t>Gams</t>
  </si>
  <si>
    <t>Grabs</t>
  </si>
  <si>
    <t>Buchs</t>
  </si>
  <si>
    <t>Sevelen</t>
  </si>
  <si>
    <t>Wartau</t>
  </si>
  <si>
    <t>Sargans</t>
  </si>
  <si>
    <t>Vilters-Wangs</t>
  </si>
  <si>
    <t>Bad Ragaz</t>
  </si>
  <si>
    <t>Pfäfers</t>
  </si>
  <si>
    <t>Mels</t>
  </si>
  <si>
    <t>Flums</t>
  </si>
  <si>
    <t>Walenstadt</t>
  </si>
  <si>
    <t>Quarten</t>
  </si>
  <si>
    <t>Amden</t>
  </si>
  <si>
    <t>Weesen</t>
  </si>
  <si>
    <t>Schänis</t>
  </si>
  <si>
    <t>Benken</t>
  </si>
  <si>
    <t>Kaltbrunn</t>
  </si>
  <si>
    <t>Gommiswald</t>
  </si>
  <si>
    <t>Uznach</t>
  </si>
  <si>
    <t>Schmerikon</t>
  </si>
  <si>
    <t>Rapperswil-Jona</t>
  </si>
  <si>
    <t>Eschenbach</t>
  </si>
  <si>
    <t>Wildhaus-Alt St.Johann</t>
  </si>
  <si>
    <t>Nesslau</t>
  </si>
  <si>
    <t>Ebnat-Kappel</t>
  </si>
  <si>
    <t>Wattwil</t>
  </si>
  <si>
    <t>Lichtensteig</t>
  </si>
  <si>
    <t>Oberhelfenschwil</t>
  </si>
  <si>
    <t>Neckertal</t>
  </si>
  <si>
    <t>Hemberg</t>
  </si>
  <si>
    <t>Bütschwil-Ganterschwil</t>
  </si>
  <si>
    <t>Lütisburg</t>
  </si>
  <si>
    <t>Mosnang</t>
  </si>
  <si>
    <t>Kirchberg</t>
  </si>
  <si>
    <t>Jonschwil</t>
  </si>
  <si>
    <t>Oberuzwil</t>
  </si>
  <si>
    <t>Uzwil</t>
  </si>
  <si>
    <t>Flawil</t>
  </si>
  <si>
    <t>Degersheim</t>
  </si>
  <si>
    <t>Wil</t>
  </si>
  <si>
    <t>Zuzwil</t>
  </si>
  <si>
    <t>Oberbüren</t>
  </si>
  <si>
    <t>Niederbüren</t>
  </si>
  <si>
    <t>Niederhelfenschwil</t>
  </si>
  <si>
    <t>Gossau</t>
  </si>
  <si>
    <t>Andwil</t>
  </si>
  <si>
    <t>Waldkirch</t>
  </si>
  <si>
    <t>Gaiserwald</t>
  </si>
  <si>
    <t>Total</t>
  </si>
  <si>
    <t>Kanton St.Gallen</t>
  </si>
  <si>
    <t>Amt für Gemeinden</t>
  </si>
  <si>
    <t>Politische Gemeinde:</t>
  </si>
  <si>
    <t>Rechnungsjahr:</t>
  </si>
  <si>
    <t>1. Stufe Finanzausgleich (Art. 5 bis 27 FAG)</t>
  </si>
  <si>
    <t>Ressourcenausgleich (Art. 5 bis 10 FAG)</t>
  </si>
  <si>
    <t>Formel gemäss Anhang 1 FAG</t>
  </si>
  <si>
    <t>Ausgleichsfaktor</t>
  </si>
  <si>
    <t>ρ</t>
  </si>
  <si>
    <t>%</t>
  </si>
  <si>
    <r>
      <t>tSTK</t>
    </r>
    <r>
      <rPr>
        <vertAlign val="subscript"/>
        <sz val="10"/>
        <rFont val="Arial"/>
        <family val="2"/>
      </rPr>
      <t>Kanton</t>
    </r>
  </si>
  <si>
    <t>Fr.</t>
  </si>
  <si>
    <r>
      <t>tSTK</t>
    </r>
    <r>
      <rPr>
        <vertAlign val="subscript"/>
        <sz val="10"/>
        <rFont val="Arial"/>
        <family val="2"/>
      </rPr>
      <t>Gemeinde</t>
    </r>
  </si>
  <si>
    <r>
      <t>BEV</t>
    </r>
    <r>
      <rPr>
        <vertAlign val="subscript"/>
        <sz val="10"/>
        <rFont val="Arial"/>
        <family val="2"/>
      </rPr>
      <t>Gemeinde</t>
    </r>
  </si>
  <si>
    <t>Ew</t>
  </si>
  <si>
    <r>
      <t>RA</t>
    </r>
    <r>
      <rPr>
        <b/>
        <vertAlign val="subscript"/>
        <sz val="10"/>
        <rFont val="Arial"/>
        <family val="2"/>
      </rPr>
      <t>Gemeinde</t>
    </r>
  </si>
  <si>
    <t>Sonderlastenausgleich Weite (Art. 11 - 17 FAG)</t>
  </si>
  <si>
    <r>
      <t>M</t>
    </r>
    <r>
      <rPr>
        <vertAlign val="subscript"/>
        <sz val="10"/>
        <rFont val="Arial"/>
        <family val="2"/>
      </rPr>
      <t>Str</t>
    </r>
  </si>
  <si>
    <t>Kürzung gemäss Anhang 5 FAG</t>
  </si>
  <si>
    <r>
      <t>SLW</t>
    </r>
    <r>
      <rPr>
        <b/>
        <vertAlign val="subscript"/>
        <sz val="10"/>
        <rFont val="Arial"/>
        <family val="2"/>
      </rPr>
      <t>Gemeinde</t>
    </r>
  </si>
  <si>
    <t>a) Unterbringung Kinder und Jugendliche</t>
  </si>
  <si>
    <t>Formel gemäss Anhang 2a Bst. a FAG</t>
  </si>
  <si>
    <t>b) Sozialhilfe</t>
  </si>
  <si>
    <t>Formel gemäss Anhang 2a Bst. b FAG</t>
  </si>
  <si>
    <t>c) Stationäre Pflege</t>
  </si>
  <si>
    <t>Formel gemäss Anhang 2a Bst. c FAG</t>
  </si>
  <si>
    <t>Wert</t>
  </si>
  <si>
    <t>a) Volksschule</t>
  </si>
  <si>
    <t>Pauschalbetrag je Schüler/in in der Volksschule</t>
  </si>
  <si>
    <r>
      <t>M</t>
    </r>
    <r>
      <rPr>
        <vertAlign val="subscript"/>
        <sz val="10"/>
        <rFont val="Arial"/>
        <family val="2"/>
      </rPr>
      <t>Sch</t>
    </r>
  </si>
  <si>
    <t>b) Sonderschule</t>
  </si>
  <si>
    <t>Formel gemäss Anhang 3b FAG</t>
  </si>
  <si>
    <t>Pauschalbetrag je Schüler/in in der Sonderschule</t>
  </si>
  <si>
    <r>
      <t>M</t>
    </r>
    <r>
      <rPr>
        <vertAlign val="subscript"/>
        <sz val="10"/>
        <rFont val="Arial"/>
        <family val="2"/>
      </rPr>
      <t>SoSch</t>
    </r>
  </si>
  <si>
    <t>Sonderlastenausgleich Stadt St.Gallen (Art. 24 - 27 FAG)</t>
  </si>
  <si>
    <t>Beitrag nach Art. 25 Abs. 1 FAG, teuerungsbereinigt</t>
  </si>
  <si>
    <t>Beitrag nach Art. 25 Abs. 2 FAG, teuerungsbereinigt</t>
  </si>
  <si>
    <t>Basis: 9'000'000</t>
  </si>
  <si>
    <t>Formel gemäss Anhang 4 FAG</t>
  </si>
  <si>
    <t>Ausgleichsgrenze nach Art. 35 Abs. 2 FAG</t>
  </si>
  <si>
    <t>3. Stufe Finanzausgleich (Übergangsregelung nach Art. 49 bis 53 FAG)</t>
  </si>
  <si>
    <t>Ressourcenausgleich</t>
  </si>
  <si>
    <t>Sonderlastenausgleich Weite</t>
  </si>
  <si>
    <t>Sonderlastenausgleich Schule</t>
  </si>
  <si>
    <t>Soziodemographischer Sonderlastenausgleich</t>
  </si>
  <si>
    <t>Sonderlastenausgleich Stadt</t>
  </si>
  <si>
    <t>Partieller Steuerfussausgleich</t>
  </si>
  <si>
    <t>Übergangsausgleich</t>
  </si>
  <si>
    <t>Beitrag pro Einwohner/in</t>
  </si>
  <si>
    <t>Basiszahlen</t>
  </si>
  <si>
    <t>Beiträge aus dem Finanzausgleich</t>
  </si>
  <si>
    <t>Grundlagedaten</t>
  </si>
  <si>
    <t>Weite</t>
  </si>
  <si>
    <t>Schule</t>
  </si>
  <si>
    <t>Soziodemographie</t>
  </si>
  <si>
    <t>Partieller Steuerfuss-ausgleich</t>
  </si>
  <si>
    <t>Übergangs-ausgleich</t>
  </si>
  <si>
    <t>Nettoaufwand 
IVSE-A</t>
  </si>
  <si>
    <t>Handänderungs-steuer</t>
  </si>
  <si>
    <t>Grundstück-gewinnsteuer</t>
  </si>
  <si>
    <t>Technische Steuer-kraft pro Einwoh-ner/in im Kantons-durchschnitt</t>
  </si>
  <si>
    <t>Kürzungsfaktor für Gemeinden mit Steuerkraft über 94,5 % des Kan-tonsdurchschnitts</t>
  </si>
  <si>
    <r>
      <rPr>
        <sz val="10"/>
        <rFont val="Arial"/>
        <family val="2"/>
      </rPr>
      <t>SFv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</si>
  <si>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SF</t>
    </r>
    <r>
      <rPr>
        <vertAlign val="subscript"/>
        <sz val="10"/>
        <rFont val="Arial"/>
        <family val="2"/>
      </rPr>
      <t>145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</si>
  <si>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</si>
  <si>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STK</t>
    </r>
    <r>
      <rPr>
        <vertAlign val="subscript"/>
        <sz val="10"/>
        <rFont val="Arial"/>
        <family val="2"/>
      </rPr>
      <t>Gemeinde</t>
    </r>
  </si>
  <si>
    <r>
      <t>SFA</t>
    </r>
    <r>
      <rPr>
        <b/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</si>
  <si>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BEV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</si>
  <si>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SoKuJ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</si>
  <si>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SoSH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</si>
  <si>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SoStPf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</si>
  <si>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SchQ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</si>
  <si>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SchQ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</si>
  <si>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SLSch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</si>
  <si>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SoSchQ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</si>
  <si>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SoSchQ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</si>
  <si>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SLSoSch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</si>
  <si>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t>Soziodemographischer Sonderlastenausgleich (Art. 17a -17g FAG)</t>
  </si>
  <si>
    <t>Sonderlastenausgleich Schule (Art. 18 - 21 FAG)</t>
  </si>
  <si>
    <t>2. Stufe Finanzausgleich (Art. 64a FAG)</t>
  </si>
  <si>
    <r>
      <t>RA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(ρ x tSTK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 xml:space="preserve"> - tSTK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) x </t>
    </r>
    <r>
      <rPr>
        <sz val="10"/>
        <rFont val="Arial"/>
        <family val="2"/>
      </rPr>
      <t>BEV</t>
    </r>
    <r>
      <rPr>
        <vertAlign val="subscript"/>
        <sz val="10"/>
        <rFont val="Arial"/>
        <family val="2"/>
      </rPr>
      <t>Gemeinde</t>
    </r>
  </si>
  <si>
    <r>
      <t>SLW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IW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M</t>
    </r>
    <r>
      <rPr>
        <vertAlign val="subscript"/>
        <sz val="10"/>
        <rFont val="Arial"/>
        <family val="2"/>
      </rPr>
      <t>IW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Weite</t>
    </r>
  </si>
  <si>
    <t>…wobei</t>
  </si>
  <si>
    <t>…und</t>
  </si>
  <si>
    <r>
      <t>IW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SI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SI</t>
    </r>
  </si>
  <si>
    <r>
      <t>SI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I</t>
    </r>
    <r>
      <rPr>
        <vertAlign val="subscript"/>
        <sz val="10"/>
        <rFont val="Arial"/>
        <family val="2"/>
      </rPr>
      <t>km</t>
    </r>
    <r>
      <rPr>
        <sz val="10"/>
        <rFont val="Arial"/>
        <family val="2"/>
      </rPr>
      <t xml:space="preserve"> + 0.1 x I</t>
    </r>
    <r>
      <rPr>
        <vertAlign val="subscript"/>
        <sz val="10"/>
        <rFont val="Arial"/>
        <family val="2"/>
      </rPr>
      <t>Höhe</t>
    </r>
    <r>
      <rPr>
        <sz val="10"/>
        <rFont val="Arial"/>
        <family val="2"/>
      </rPr>
      <t xml:space="preserve"> + 0.1 x I</t>
    </r>
    <r>
      <rPr>
        <vertAlign val="subscript"/>
        <sz val="10"/>
        <rFont val="Arial"/>
        <family val="2"/>
      </rPr>
      <t>Dichte</t>
    </r>
    <r>
      <rPr>
        <sz val="10"/>
        <rFont val="Arial"/>
        <family val="2"/>
      </rPr>
      <t xml:space="preserve"> + 0.1 x I</t>
    </r>
    <r>
      <rPr>
        <vertAlign val="subscript"/>
        <sz val="10"/>
        <rFont val="Arial"/>
        <family val="2"/>
      </rPr>
      <t>Streuung</t>
    </r>
  </si>
  <si>
    <r>
      <t>I</t>
    </r>
    <r>
      <rPr>
        <vertAlign val="subscript"/>
        <sz val="10"/>
        <rFont val="Arial"/>
        <family val="2"/>
      </rPr>
      <t>km</t>
    </r>
  </si>
  <si>
    <r>
      <t>I</t>
    </r>
    <r>
      <rPr>
        <vertAlign val="subscript"/>
        <sz val="10"/>
        <rFont val="Arial"/>
        <family val="2"/>
      </rPr>
      <t>Höhe</t>
    </r>
  </si>
  <si>
    <r>
      <t>I</t>
    </r>
    <r>
      <rPr>
        <vertAlign val="subscript"/>
        <sz val="10"/>
        <rFont val="Arial"/>
        <family val="2"/>
      </rPr>
      <t>Dichte</t>
    </r>
  </si>
  <si>
    <t>Standardisierter Indikator der Streuung bedeutender Siedlungen auf dem Gemeindegebiet</t>
  </si>
  <si>
    <r>
      <t>I</t>
    </r>
    <r>
      <rPr>
        <vertAlign val="subscript"/>
        <sz val="10"/>
        <rFont val="Arial"/>
        <family val="2"/>
      </rPr>
      <t>Streuung</t>
    </r>
  </si>
  <si>
    <r>
      <t>SI</t>
    </r>
    <r>
      <rPr>
        <vertAlign val="subscript"/>
        <sz val="10"/>
        <rFont val="Arial"/>
        <family val="2"/>
      </rPr>
      <t xml:space="preserve">Gemeinde </t>
    </r>
  </si>
  <si>
    <t>Standardabweichung der Summe der gewichteten Indikatoren</t>
  </si>
  <si>
    <r>
      <t>S</t>
    </r>
    <r>
      <rPr>
        <vertAlign val="subscript"/>
        <sz val="10"/>
        <rFont val="Arial"/>
        <family val="2"/>
      </rPr>
      <t>SI</t>
    </r>
  </si>
  <si>
    <t>Beitragssatz Weite</t>
  </si>
  <si>
    <t>Koeffizient von Fr. 249.- je Indexpunkt Weite</t>
  </si>
  <si>
    <t>…wobei…</t>
  </si>
  <si>
    <t>Formel gemäss Anhang 2 FAG…</t>
  </si>
  <si>
    <r>
      <t>SoKuJ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(NAKuJ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NAKuJ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KuJ</t>
    </r>
  </si>
  <si>
    <r>
      <t>NAKuJ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</si>
  <si>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NAKuJ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</si>
  <si>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t>Beitragssatz Kinder und Jugendliche</t>
  </si>
  <si>
    <r>
      <t>σ</t>
    </r>
    <r>
      <rPr>
        <vertAlign val="subscript"/>
        <sz val="10"/>
        <rFont val="Arial"/>
        <family val="2"/>
      </rPr>
      <t>KuJ</t>
    </r>
  </si>
  <si>
    <r>
      <t>SoSH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(NASH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NASH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SH</t>
    </r>
  </si>
  <si>
    <r>
      <t>NASH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</si>
  <si>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NASH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</si>
  <si>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σ</t>
    </r>
    <r>
      <rPr>
        <vertAlign val="subscript"/>
        <sz val="10"/>
        <rFont val="Arial"/>
        <family val="2"/>
      </rPr>
      <t>SH</t>
    </r>
  </si>
  <si>
    <r>
      <t>SoStPf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(NAStPf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NAStPf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StPf</t>
    </r>
  </si>
  <si>
    <r>
      <t>NAStPf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</si>
  <si>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NAStPf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</si>
  <si>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σ</t>
    </r>
    <r>
      <rPr>
        <vertAlign val="subscript"/>
        <sz val="10"/>
        <rFont val="Arial"/>
        <family val="2"/>
      </rPr>
      <t>StPf</t>
    </r>
  </si>
  <si>
    <t>Ausgleichsbeitrag soziodemographischer Sonderlastenauslgeich</t>
  </si>
  <si>
    <t>Formel gemäss Anhang 2a Bst. e FAG</t>
  </si>
  <si>
    <r>
      <t>SLSo</t>
    </r>
    <r>
      <rPr>
        <vertAlign val="subscript"/>
        <sz val="10"/>
        <color theme="1"/>
        <rFont val="Arial"/>
        <family val="2"/>
      </rPr>
      <t>Gemeinde</t>
    </r>
    <r>
      <rPr>
        <sz val="10"/>
        <color theme="1"/>
        <rFont val="Arial"/>
        <family val="2"/>
      </rPr>
      <t xml:space="preserve"> = SoKuJ</t>
    </r>
    <r>
      <rPr>
        <vertAlign val="subscript"/>
        <sz val="10"/>
        <color theme="1"/>
        <rFont val="Arial"/>
        <family val="2"/>
      </rPr>
      <t>Gemeinde</t>
    </r>
    <r>
      <rPr>
        <sz val="10"/>
        <color theme="1"/>
        <rFont val="Arial"/>
        <family val="2"/>
      </rPr>
      <t xml:space="preserve"> + SoSH</t>
    </r>
    <r>
      <rPr>
        <vertAlign val="subscript"/>
        <sz val="10"/>
        <color theme="1"/>
        <rFont val="Arial"/>
        <family val="2"/>
      </rPr>
      <t>Gemeinde</t>
    </r>
    <r>
      <rPr>
        <sz val="10"/>
        <color theme="1"/>
        <rFont val="Arial"/>
        <family val="2"/>
      </rPr>
      <t xml:space="preserve"> + SoStPf</t>
    </r>
    <r>
      <rPr>
        <vertAlign val="subscript"/>
        <sz val="10"/>
        <color theme="1"/>
        <rFont val="Arial"/>
        <family val="2"/>
      </rPr>
      <t>Gemeinde</t>
    </r>
  </si>
  <si>
    <r>
      <t>SoKuJ</t>
    </r>
    <r>
      <rPr>
        <vertAlign val="subscript"/>
        <sz val="10"/>
        <color theme="1"/>
        <rFont val="Arial"/>
        <family val="2"/>
      </rPr>
      <t>Gemeinde</t>
    </r>
  </si>
  <si>
    <r>
      <t>SoSH</t>
    </r>
    <r>
      <rPr>
        <vertAlign val="subscript"/>
        <sz val="10"/>
        <color theme="1"/>
        <rFont val="Arial"/>
        <family val="2"/>
      </rPr>
      <t>Gemeinde</t>
    </r>
  </si>
  <si>
    <r>
      <t>SoStPf</t>
    </r>
    <r>
      <rPr>
        <vertAlign val="subscript"/>
        <sz val="10"/>
        <color theme="1"/>
        <rFont val="Arial"/>
        <family val="2"/>
      </rPr>
      <t>Gemeinde</t>
    </r>
  </si>
  <si>
    <t>Formel gemäss Anhang 3a FAG…</t>
  </si>
  <si>
    <r>
      <t>SLSch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(SchQ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BI'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SchQ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M</t>
    </r>
    <r>
      <rPr>
        <vertAlign val="subscript"/>
        <sz val="10"/>
        <rFont val="Arial"/>
        <family val="2"/>
      </rPr>
      <t>Sch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VS</t>
    </r>
  </si>
  <si>
    <r>
      <t>BI'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1 + (BI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- 1) x 0.15</t>
    </r>
  </si>
  <si>
    <r>
      <t>BI</t>
    </r>
    <r>
      <rPr>
        <vertAlign val="subscript"/>
        <sz val="10"/>
        <rFont val="Arial"/>
        <family val="2"/>
      </rPr>
      <t>Gemeinde</t>
    </r>
  </si>
  <si>
    <r>
      <t>BI'</t>
    </r>
    <r>
      <rPr>
        <vertAlign val="subscript"/>
        <sz val="10"/>
        <rFont val="Arial"/>
        <family val="2"/>
      </rPr>
      <t>Gemeinde</t>
    </r>
  </si>
  <si>
    <r>
      <t>σ</t>
    </r>
    <r>
      <rPr>
        <vertAlign val="subscript"/>
        <sz val="10"/>
        <rFont val="Arial"/>
        <family val="2"/>
      </rPr>
      <t>VS</t>
    </r>
  </si>
  <si>
    <r>
      <t>SLSoSch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(SoSchQ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SoSchQ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M</t>
    </r>
    <r>
      <rPr>
        <vertAlign val="subscript"/>
        <sz val="10"/>
        <rFont val="Arial"/>
        <family val="2"/>
      </rPr>
      <t>SoSch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SoSch</t>
    </r>
  </si>
  <si>
    <t>Beitragssatz Sonderschule</t>
  </si>
  <si>
    <r>
      <t>σ</t>
    </r>
    <r>
      <rPr>
        <vertAlign val="subscript"/>
        <sz val="10"/>
        <rFont val="Arial"/>
        <family val="2"/>
      </rPr>
      <t>SoSch</t>
    </r>
  </si>
  <si>
    <r>
      <t>SFA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(SFv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SF</t>
    </r>
    <r>
      <rPr>
        <vertAlign val="subscript"/>
        <sz val="10"/>
        <rFont val="Arial"/>
        <family val="2"/>
      </rPr>
      <t>145</t>
    </r>
    <r>
      <rPr>
        <sz val="10"/>
        <rFont val="Arial"/>
        <family val="2"/>
      </rPr>
      <t>) x 0.4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STK</t>
    </r>
    <r>
      <rPr>
        <vertAlign val="subscript"/>
        <sz val="10"/>
        <rFont val="Arial"/>
        <family val="2"/>
      </rPr>
      <t>Gemeinde</t>
    </r>
  </si>
  <si>
    <t>Allg. Faktoren</t>
  </si>
  <si>
    <t>Kürzungsfaktor Schule</t>
  </si>
  <si>
    <t>Kürzungsfaktor SL Sozio</t>
  </si>
  <si>
    <t>Sozio</t>
  </si>
  <si>
    <t>Ikm</t>
  </si>
  <si>
    <t>IHöhe</t>
  </si>
  <si>
    <t>IStreuung</t>
  </si>
  <si>
    <t>IDichte</t>
  </si>
  <si>
    <t>SSI</t>
  </si>
  <si>
    <t>MIW</t>
  </si>
  <si>
    <t>σWeite</t>
  </si>
  <si>
    <t>MSch</t>
  </si>
  <si>
    <t>MSoSch</t>
  </si>
  <si>
    <t>σVS</t>
  </si>
  <si>
    <t>σSoSch</t>
  </si>
  <si>
    <t>σKuJ, σSH und σStPf</t>
  </si>
  <si>
    <r>
      <t>σ</t>
    </r>
    <r>
      <rPr>
        <vertAlign val="subscript"/>
        <sz val="10"/>
        <rFont val="Arial"/>
        <family val="2"/>
      </rPr>
      <t>Weite</t>
    </r>
  </si>
  <si>
    <r>
      <t>IW</t>
    </r>
    <r>
      <rPr>
        <vertAlign val="subscript"/>
        <sz val="10"/>
        <rFont val="Arial"/>
        <family val="2"/>
      </rPr>
      <t>Gemeinde</t>
    </r>
  </si>
  <si>
    <t>Beitragssatz bei überdurchschnittlicher Belastung durch die Sozialhilfe (Art. 17e Abs. 1bis Bst. a)</t>
  </si>
  <si>
    <t>Beitragssatz bei unterdurchschnittlicher Belastung durch die Sozialhilfe (Art. 17e Abs. 1bis Bst. b)</t>
  </si>
  <si>
    <t>Beitragssatz bei überdurchschnittlicher Belastung durch die stationäre Pflege (Art. 17g Abs. 1bis Bst. a)</t>
  </si>
  <si>
    <t>Beitragssatz bei unterdurchschnittlicher Belastung durch die stationäre Pflege (Art. 17g Abs. 1bis Bst. b)</t>
  </si>
  <si>
    <t>Beitragssatz bei überdurchschnittlicher Belastung durch die Volksschule (Art. 21 Abs. 1 Bst. a)</t>
  </si>
  <si>
    <t>Beitragssatz bei unterdurchschnittlicher Belastung durch die Volksschule (Art. 21 Abs. 1 Bst. b)</t>
  </si>
  <si>
    <t>Basis: 7'000'000</t>
  </si>
  <si>
    <t>beschlossener Steuerfuss 2016</t>
  </si>
  <si>
    <t>Einwohnerzahl am 31.12.2016</t>
  </si>
  <si>
    <t>Technische Steuerkraft im Durchschnitt von 2016</t>
  </si>
  <si>
    <t>Finanzausgleich 2019 (provisorisch)</t>
  </si>
  <si>
    <t>Technische Steuerkraft im Durchschnitt von 2017</t>
  </si>
  <si>
    <t>Technische Steuerkraft im Durchschnitt von 2016/2017</t>
  </si>
  <si>
    <t>beschlossener Steuerfuss 2017</t>
  </si>
  <si>
    <t>Einwohnerzahl am 31.12.2017</t>
  </si>
  <si>
    <t>gewichtete Strassenlänge am 31.12.2017</t>
  </si>
  <si>
    <t>Einwohner über 800 m.ü.M. am 31.12.2017</t>
  </si>
  <si>
    <t>Dispersion mehrerer Zentren am 31.12.2017</t>
  </si>
  <si>
    <t>Fläche in ha gem. amtl. Vermessung am 31.12.2017</t>
  </si>
  <si>
    <t>Schülerzahl der Volksschule am 31.12.2017</t>
  </si>
  <si>
    <t>Schülerzahl der Sonderschule am 31.12.2017</t>
  </si>
  <si>
    <t>BLD-Index am 31.12.2017</t>
  </si>
  <si>
    <t>Juni-Index 2018 der Konsumentenpreise</t>
  </si>
  <si>
    <t>Total definitive Beiträge</t>
  </si>
  <si>
    <t>Zusammenzug definitive Beiträge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</si>
</sst>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%"/>
    <numFmt numFmtId="167" formatCode="_ * #,##0.000000_ ;_ * \-#,##0.000000_ ;_ * &quot;-&quot;??_ ;_ @_ "/>
    <numFmt numFmtId="168" formatCode="0.000%"/>
    <numFmt numFmtId="169" formatCode="#,##0.00_ ;\-#,##0.00\ "/>
    <numFmt numFmtId="170" formatCode="#,##0.0000"/>
    <numFmt numFmtId="171" formatCode="#,##0.00000"/>
    <numFmt numFmtId="172" formatCode="_ * #,##0.0000000_ ;_ * \-#,##0.0000000_ ;_ * &quot;-&quot;??_ ;_ @_ 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b/>
      <sz val="10"/>
      <color rgb="FFFF0000"/>
      <name val="Arial"/>
      <family val="2"/>
    </font>
    <font>
      <vertAlign val="subscript"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2" fillId="0" borderId="12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5" fillId="3" borderId="6" xfId="0" applyFont="1" applyFill="1" applyBorder="1" applyAlignment="1" applyProtection="1">
      <alignment vertical="center"/>
      <protection hidden="1"/>
    </xf>
    <xf numFmtId="0" fontId="3" fillId="3" borderId="6" xfId="0" applyFont="1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/>
      <protection hidden="1"/>
    </xf>
    <xf numFmtId="0" fontId="0" fillId="3" borderId="13" xfId="0" applyFill="1" applyBorder="1" applyAlignment="1" applyProtection="1">
      <alignment vertical="center"/>
      <protection hidden="1"/>
    </xf>
    <xf numFmtId="0" fontId="3" fillId="3" borderId="13" xfId="0" applyFont="1" applyFill="1" applyBorder="1" applyAlignment="1" applyProtection="1">
      <alignment vertical="center"/>
      <protection hidden="1"/>
    </xf>
    <xf numFmtId="0" fontId="3" fillId="3" borderId="13" xfId="0" applyFont="1" applyFill="1" applyBorder="1" applyAlignment="1" applyProtection="1">
      <alignment vertical="center" wrapText="1"/>
      <protection hidden="1"/>
    </xf>
    <xf numFmtId="43" fontId="0" fillId="3" borderId="0" xfId="0" applyNumberFormat="1" applyFill="1" applyProtection="1">
      <protection hidden="1"/>
    </xf>
    <xf numFmtId="0" fontId="3" fillId="3" borderId="0" xfId="0" applyFont="1" applyFill="1" applyProtection="1">
      <protection hidden="1"/>
    </xf>
    <xf numFmtId="166" fontId="0" fillId="3" borderId="0" xfId="2" applyNumberFormat="1" applyFont="1" applyFill="1" applyProtection="1">
      <protection hidden="1"/>
    </xf>
    <xf numFmtId="0" fontId="0" fillId="3" borderId="0" xfId="0" applyFill="1" applyProtection="1">
      <protection hidden="1"/>
    </xf>
    <xf numFmtId="43" fontId="0" fillId="3" borderId="0" xfId="1" applyFont="1" applyFill="1" applyProtection="1">
      <protection hidden="1"/>
    </xf>
    <xf numFmtId="164" fontId="0" fillId="3" borderId="0" xfId="1" applyNumberFormat="1" applyFont="1" applyFill="1" applyProtection="1">
      <protection hidden="1"/>
    </xf>
    <xf numFmtId="0" fontId="5" fillId="3" borderId="10" xfId="0" applyFont="1" applyFill="1" applyBorder="1" applyAlignment="1" applyProtection="1">
      <alignment vertical="center"/>
      <protection hidden="1"/>
    </xf>
    <xf numFmtId="0" fontId="5" fillId="3" borderId="10" xfId="0" applyFont="1" applyFill="1" applyBorder="1" applyAlignment="1" applyProtection="1">
      <alignment vertical="center" wrapText="1"/>
      <protection hidden="1"/>
    </xf>
    <xf numFmtId="43" fontId="5" fillId="3" borderId="10" xfId="1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10" fontId="0" fillId="3" borderId="0" xfId="2" applyNumberFormat="1" applyFont="1" applyFill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0" fillId="4" borderId="14" xfId="0" applyFill="1" applyBorder="1" applyAlignment="1" applyProtection="1">
      <alignment vertical="center"/>
      <protection hidden="1"/>
    </xf>
    <xf numFmtId="0" fontId="3" fillId="4" borderId="14" xfId="0" applyFont="1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167" fontId="0" fillId="4" borderId="0" xfId="1" applyNumberFormat="1" applyFont="1" applyFill="1" applyAlignment="1" applyProtection="1">
      <alignment vertical="center"/>
      <protection hidden="1"/>
    </xf>
    <xf numFmtId="164" fontId="0" fillId="4" borderId="0" xfId="1" applyNumberFormat="1" applyFont="1" applyFill="1" applyAlignment="1" applyProtection="1">
      <alignment vertical="center"/>
      <protection hidden="1"/>
    </xf>
    <xf numFmtId="0" fontId="0" fillId="4" borderId="10" xfId="0" applyFill="1" applyBorder="1" applyAlignment="1" applyProtection="1">
      <alignment vertical="center"/>
      <protection hidden="1"/>
    </xf>
    <xf numFmtId="0" fontId="3" fillId="4" borderId="10" xfId="0" applyFont="1" applyFill="1" applyBorder="1" applyAlignment="1" applyProtection="1">
      <alignment vertical="center"/>
      <protection hidden="1"/>
    </xf>
    <xf numFmtId="43" fontId="0" fillId="4" borderId="10" xfId="1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5" fillId="4" borderId="6" xfId="0" applyFont="1" applyFill="1" applyBorder="1" applyAlignment="1" applyProtection="1">
      <alignment vertical="center"/>
      <protection hidden="1"/>
    </xf>
    <xf numFmtId="0" fontId="0" fillId="4" borderId="0" xfId="0" applyFill="1" applyProtection="1">
      <protection hidden="1"/>
    </xf>
    <xf numFmtId="0" fontId="5" fillId="4" borderId="13" xfId="0" applyFont="1" applyFill="1" applyBorder="1" applyAlignment="1" applyProtection="1">
      <alignment vertical="center"/>
      <protection hidden="1"/>
    </xf>
    <xf numFmtId="43" fontId="0" fillId="4" borderId="0" xfId="1" applyNumberFormat="1" applyFont="1" applyFill="1" applyAlignment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43" fontId="5" fillId="3" borderId="2" xfId="0" applyNumberFormat="1" applyFont="1" applyFill="1" applyBorder="1" applyAlignment="1" applyProtection="1">
      <alignment vertical="center"/>
      <protection hidden="1"/>
    </xf>
    <xf numFmtId="10" fontId="0" fillId="4" borderId="0" xfId="2" applyNumberFormat="1" applyFont="1" applyFill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68" fontId="0" fillId="3" borderId="0" xfId="2" applyNumberFormat="1" applyFont="1" applyFill="1" applyAlignment="1" applyProtection="1">
      <alignment vertical="center"/>
      <protection hidden="1"/>
    </xf>
    <xf numFmtId="43" fontId="0" fillId="3" borderId="0" xfId="1" applyNumberFormat="1" applyFont="1" applyFill="1" applyAlignment="1" applyProtection="1">
      <alignment vertical="center"/>
      <protection hidden="1"/>
    </xf>
    <xf numFmtId="43" fontId="5" fillId="3" borderId="10" xfId="0" applyNumberFormat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2" fillId="0" borderId="15" xfId="0" applyFont="1" applyBorder="1" applyAlignment="1" applyProtection="1">
      <alignment vertical="center"/>
      <protection hidden="1"/>
    </xf>
    <xf numFmtId="0" fontId="0" fillId="5" borderId="13" xfId="0" applyFill="1" applyBorder="1" applyAlignment="1" applyProtection="1">
      <alignment vertical="center"/>
      <protection hidden="1"/>
    </xf>
    <xf numFmtId="0" fontId="3" fillId="5" borderId="13" xfId="0" applyFont="1" applyFill="1" applyBorder="1" applyAlignment="1" applyProtection="1">
      <alignment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9" fontId="0" fillId="5" borderId="0" xfId="2" applyNumberFormat="1" applyFont="1" applyFill="1" applyAlignment="1" applyProtection="1">
      <alignment vertical="center"/>
      <protection hidden="1"/>
    </xf>
    <xf numFmtId="9" fontId="0" fillId="5" borderId="0" xfId="2" applyFont="1" applyFill="1" applyAlignment="1" applyProtection="1">
      <alignment vertical="center"/>
      <protection hidden="1"/>
    </xf>
    <xf numFmtId="164" fontId="0" fillId="5" borderId="0" xfId="1" applyNumberFormat="1" applyFont="1" applyFill="1" applyAlignment="1" applyProtection="1">
      <alignment vertical="center"/>
      <protection hidden="1"/>
    </xf>
    <xf numFmtId="43" fontId="0" fillId="5" borderId="0" xfId="1" applyNumberFormat="1" applyFont="1" applyFill="1" applyAlignment="1" applyProtection="1">
      <alignment vertical="center"/>
      <protection hidden="1"/>
    </xf>
    <xf numFmtId="0" fontId="5" fillId="5" borderId="10" xfId="0" applyFont="1" applyFill="1" applyBorder="1" applyAlignment="1" applyProtection="1">
      <alignment vertical="center"/>
      <protection hidden="1"/>
    </xf>
    <xf numFmtId="43" fontId="5" fillId="5" borderId="10" xfId="1" applyFont="1" applyFill="1" applyBorder="1" applyAlignment="1" applyProtection="1">
      <alignment vertical="center"/>
      <protection hidden="1"/>
    </xf>
    <xf numFmtId="0" fontId="2" fillId="0" borderId="16" xfId="0" applyFont="1" applyBorder="1" applyAlignment="1" applyProtection="1">
      <alignment vertical="center"/>
      <protection hidden="1"/>
    </xf>
    <xf numFmtId="0" fontId="5" fillId="6" borderId="10" xfId="0" applyFont="1" applyFill="1" applyBorder="1" applyAlignment="1" applyProtection="1">
      <alignment vertical="center"/>
      <protection hidden="1"/>
    </xf>
    <xf numFmtId="43" fontId="5" fillId="6" borderId="10" xfId="1" applyNumberFormat="1" applyFont="1" applyFill="1" applyBorder="1" applyAlignment="1" applyProtection="1">
      <alignment horizontal="right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3" fontId="0" fillId="3" borderId="6" xfId="0" applyNumberFormat="1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43" fontId="0" fillId="3" borderId="0" xfId="0" applyNumberFormat="1" applyFill="1" applyBorder="1" applyAlignment="1" applyProtection="1">
      <alignment vertical="center"/>
      <protection hidden="1"/>
    </xf>
    <xf numFmtId="0" fontId="0" fillId="3" borderId="18" xfId="0" applyFill="1" applyBorder="1" applyAlignment="1" applyProtection="1">
      <alignment vertical="center"/>
      <protection hidden="1"/>
    </xf>
    <xf numFmtId="43" fontId="0" fillId="3" borderId="18" xfId="0" applyNumberFormat="1" applyFill="1" applyBorder="1" applyAlignment="1" applyProtection="1">
      <alignment vertical="center"/>
      <protection hidden="1"/>
    </xf>
    <xf numFmtId="0" fontId="0" fillId="5" borderId="19" xfId="0" applyFill="1" applyBorder="1" applyAlignment="1" applyProtection="1">
      <alignment vertical="center"/>
      <protection hidden="1"/>
    </xf>
    <xf numFmtId="43" fontId="0" fillId="5" borderId="19" xfId="1" applyFont="1" applyFill="1" applyBorder="1" applyAlignment="1" applyProtection="1">
      <alignment vertical="center"/>
      <protection hidden="1"/>
    </xf>
    <xf numFmtId="0" fontId="0" fillId="6" borderId="14" xfId="0" applyFill="1" applyBorder="1" applyAlignment="1" applyProtection="1">
      <alignment vertical="center"/>
      <protection hidden="1"/>
    </xf>
    <xf numFmtId="43" fontId="0" fillId="6" borderId="14" xfId="0" applyNumberFormat="1" applyFill="1" applyBorder="1" applyAlignment="1" applyProtection="1">
      <alignment vertical="center"/>
      <protection hidden="1"/>
    </xf>
    <xf numFmtId="0" fontId="5" fillId="2" borderId="20" xfId="0" applyFont="1" applyFill="1" applyBorder="1" applyAlignment="1" applyProtection="1">
      <alignment vertical="center"/>
      <protection hidden="1"/>
    </xf>
    <xf numFmtId="43" fontId="5" fillId="2" borderId="20" xfId="0" applyNumberFormat="1" applyFon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43" fontId="0" fillId="2" borderId="10" xfId="0" applyNumberForma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0" fontId="4" fillId="0" borderId="3" xfId="0" applyFont="1" applyFill="1" applyBorder="1" applyAlignment="1" applyProtection="1">
      <alignment horizontal="left" vertical="center" wrapText="1"/>
      <protection hidden="1"/>
    </xf>
    <xf numFmtId="0" fontId="4" fillId="0" borderId="9" xfId="0" applyFont="1" applyFill="1" applyBorder="1" applyAlignment="1" applyProtection="1">
      <alignment textRotation="90" wrapText="1"/>
      <protection hidden="1"/>
    </xf>
    <xf numFmtId="0" fontId="4" fillId="0" borderId="10" xfId="0" applyFont="1" applyFill="1" applyBorder="1" applyAlignment="1" applyProtection="1">
      <alignment textRotation="90" wrapText="1"/>
      <protection hidden="1"/>
    </xf>
    <xf numFmtId="0" fontId="4" fillId="0" borderId="11" xfId="0" applyFont="1" applyFill="1" applyBorder="1" applyAlignment="1" applyProtection="1">
      <alignment textRotation="90" wrapText="1"/>
      <protection hidden="1"/>
    </xf>
    <xf numFmtId="0" fontId="4" fillId="0" borderId="21" xfId="0" applyFont="1" applyFill="1" applyBorder="1" applyAlignment="1" applyProtection="1">
      <alignment textRotation="90" wrapText="1"/>
      <protection hidden="1"/>
    </xf>
    <xf numFmtId="0" fontId="4" fillId="0" borderId="0" xfId="0" applyFont="1" applyFill="1" applyBorder="1" applyAlignment="1" applyProtection="1">
      <alignment wrapText="1"/>
      <protection hidden="1"/>
    </xf>
    <xf numFmtId="1" fontId="4" fillId="0" borderId="4" xfId="0" applyNumberFormat="1" applyFont="1" applyFill="1" applyBorder="1" applyAlignment="1" applyProtection="1">
      <alignment horizontal="center"/>
      <protection hidden="1"/>
    </xf>
    <xf numFmtId="1" fontId="4" fillId="0" borderId="7" xfId="0" applyNumberFormat="1" applyFont="1" applyFill="1" applyBorder="1" applyAlignment="1" applyProtection="1">
      <alignment horizontal="center"/>
      <protection hidden="1"/>
    </xf>
    <xf numFmtId="0" fontId="8" fillId="0" borderId="24" xfId="0" applyFont="1" applyBorder="1" applyAlignment="1" applyProtection="1">
      <alignment vertical="center"/>
      <protection locked="0" hidden="1"/>
    </xf>
    <xf numFmtId="169" fontId="0" fillId="0" borderId="0" xfId="0" applyNumberFormat="1" applyProtection="1">
      <protection hidden="1"/>
    </xf>
    <xf numFmtId="0" fontId="8" fillId="0" borderId="0" xfId="0" applyFont="1" applyAlignment="1" applyProtection="1">
      <alignment horizontal="left" vertical="center"/>
      <protection hidden="1"/>
    </xf>
    <xf numFmtId="43" fontId="6" fillId="0" borderId="10" xfId="0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3" fontId="4" fillId="0" borderId="0" xfId="0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Protection="1">
      <protection hidden="1"/>
    </xf>
    <xf numFmtId="0" fontId="4" fillId="0" borderId="4" xfId="0" applyFont="1" applyFill="1" applyBorder="1" applyProtection="1">
      <protection hidden="1"/>
    </xf>
    <xf numFmtId="0" fontId="4" fillId="0" borderId="5" xfId="0" applyFont="1" applyFill="1" applyBorder="1" applyAlignment="1" applyProtection="1">
      <alignment horizontal="left"/>
      <protection hidden="1"/>
    </xf>
    <xf numFmtId="0" fontId="4" fillId="0" borderId="9" xfId="0" applyFont="1" applyFill="1" applyBorder="1" applyAlignment="1" applyProtection="1">
      <protection hidden="1"/>
    </xf>
    <xf numFmtId="0" fontId="4" fillId="0" borderId="10" xfId="0" applyFont="1" applyFill="1" applyBorder="1" applyAlignment="1" applyProtection="1">
      <protection hidden="1"/>
    </xf>
    <xf numFmtId="4" fontId="4" fillId="0" borderId="10" xfId="1" applyNumberFormat="1" applyFont="1" applyFill="1" applyBorder="1" applyProtection="1">
      <protection hidden="1"/>
    </xf>
    <xf numFmtId="0" fontId="4" fillId="0" borderId="11" xfId="0" applyFont="1" applyFill="1" applyBorder="1" applyAlignment="1" applyProtection="1">
      <protection hidden="1"/>
    </xf>
    <xf numFmtId="4" fontId="4" fillId="0" borderId="4" xfId="1" applyNumberFormat="1" applyFont="1" applyFill="1" applyBorder="1" applyProtection="1">
      <protection hidden="1"/>
    </xf>
    <xf numFmtId="4" fontId="4" fillId="0" borderId="6" xfId="1" applyNumberFormat="1" applyFont="1" applyFill="1" applyBorder="1" applyProtection="1">
      <protection hidden="1"/>
    </xf>
    <xf numFmtId="4" fontId="4" fillId="0" borderId="9" xfId="1" applyNumberFormat="1" applyFont="1" applyFill="1" applyBorder="1" applyProtection="1">
      <protection hidden="1"/>
    </xf>
    <xf numFmtId="0" fontId="4" fillId="0" borderId="11" xfId="0" applyFont="1" applyFill="1" applyBorder="1" applyProtection="1">
      <protection hidden="1"/>
    </xf>
    <xf numFmtId="4" fontId="4" fillId="0" borderId="10" xfId="1" applyNumberFormat="1" applyFont="1" applyFill="1" applyBorder="1" applyAlignment="1" applyProtection="1">
      <alignment horizontal="right" textRotation="90" wrapText="1"/>
      <protection hidden="1"/>
    </xf>
    <xf numFmtId="4" fontId="4" fillId="0" borderId="9" xfId="1" applyNumberFormat="1" applyFont="1" applyFill="1" applyBorder="1" applyAlignment="1" applyProtection="1">
      <alignment horizontal="right" textRotation="90" wrapText="1"/>
      <protection hidden="1"/>
    </xf>
    <xf numFmtId="4" fontId="4" fillId="0" borderId="21" xfId="1" applyNumberFormat="1" applyFont="1" applyFill="1" applyBorder="1" applyAlignment="1" applyProtection="1">
      <alignment horizontal="right" textRotation="90" wrapText="1"/>
      <protection hidden="1"/>
    </xf>
    <xf numFmtId="4" fontId="4" fillId="0" borderId="11" xfId="1" applyNumberFormat="1" applyFont="1" applyFill="1" applyBorder="1" applyAlignment="1" applyProtection="1">
      <alignment horizontal="right" textRotation="90" wrapText="1"/>
      <protection hidden="1"/>
    </xf>
    <xf numFmtId="0" fontId="4" fillId="0" borderId="5" xfId="0" applyFont="1" applyFill="1" applyBorder="1" applyAlignment="1" applyProtection="1">
      <alignment horizontal="left" wrapText="1"/>
      <protection hidden="1"/>
    </xf>
    <xf numFmtId="164" fontId="4" fillId="0" borderId="6" xfId="1" applyNumberFormat="1" applyFont="1" applyFill="1" applyBorder="1" applyProtection="1">
      <protection hidden="1"/>
    </xf>
    <xf numFmtId="3" fontId="4" fillId="0" borderId="6" xfId="0" applyNumberFormat="1" applyFont="1" applyFill="1" applyBorder="1" applyProtection="1">
      <protection hidden="1"/>
    </xf>
    <xf numFmtId="9" fontId="4" fillId="0" borderId="0" xfId="0" applyNumberFormat="1" applyFont="1" applyFill="1" applyBorder="1" applyProtection="1">
      <protection hidden="1"/>
    </xf>
    <xf numFmtId="3" fontId="4" fillId="0" borderId="4" xfId="0" applyNumberFormat="1" applyFont="1" applyFill="1" applyBorder="1" applyProtection="1">
      <protection hidden="1"/>
    </xf>
    <xf numFmtId="43" fontId="4" fillId="0" borderId="4" xfId="1" applyFont="1" applyFill="1" applyBorder="1" applyProtection="1">
      <protection hidden="1"/>
    </xf>
    <xf numFmtId="43" fontId="4" fillId="0" borderId="6" xfId="1" applyFont="1" applyFill="1" applyBorder="1" applyProtection="1">
      <protection hidden="1"/>
    </xf>
    <xf numFmtId="43" fontId="4" fillId="0" borderId="23" xfId="1" applyFont="1" applyFill="1" applyBorder="1" applyProtection="1">
      <protection hidden="1"/>
    </xf>
    <xf numFmtId="43" fontId="4" fillId="0" borderId="0" xfId="1" applyFont="1" applyFill="1" applyBorder="1" applyProtection="1">
      <protection hidden="1"/>
    </xf>
    <xf numFmtId="43" fontId="4" fillId="0" borderId="22" xfId="1" applyFont="1" applyFill="1" applyBorder="1" applyProtection="1">
      <protection hidden="1"/>
    </xf>
    <xf numFmtId="4" fontId="4" fillId="0" borderId="4" xfId="0" applyNumberFormat="1" applyFont="1" applyFill="1" applyBorder="1" applyProtection="1">
      <protection hidden="1"/>
    </xf>
    <xf numFmtId="4" fontId="4" fillId="0" borderId="6" xfId="0" applyNumberFormat="1" applyFont="1" applyFill="1" applyBorder="1" applyProtection="1">
      <protection hidden="1"/>
    </xf>
    <xf numFmtId="4" fontId="4" fillId="0" borderId="5" xfId="0" applyNumberFormat="1" applyFont="1" applyFill="1" applyBorder="1" applyProtection="1">
      <protection hidden="1"/>
    </xf>
    <xf numFmtId="166" fontId="4" fillId="0" borderId="4" xfId="2" applyNumberFormat="1" applyFont="1" applyFill="1" applyBorder="1" applyProtection="1">
      <protection hidden="1"/>
    </xf>
    <xf numFmtId="10" fontId="4" fillId="0" borderId="5" xfId="2" applyNumberFormat="1" applyFont="1" applyFill="1" applyBorder="1" applyProtection="1">
      <protection hidden="1"/>
    </xf>
    <xf numFmtId="166" fontId="4" fillId="0" borderId="6" xfId="2" applyNumberFormat="1" applyFont="1" applyFill="1" applyBorder="1" applyProtection="1">
      <protection hidden="1"/>
    </xf>
    <xf numFmtId="166" fontId="4" fillId="0" borderId="5" xfId="2" applyNumberFormat="1" applyFont="1" applyFill="1" applyBorder="1" applyProtection="1">
      <protection hidden="1"/>
    </xf>
    <xf numFmtId="0" fontId="4" fillId="0" borderId="8" xfId="0" applyFont="1" applyFill="1" applyBorder="1" applyAlignment="1" applyProtection="1">
      <alignment horizontal="left" wrapText="1"/>
      <protection hidden="1"/>
    </xf>
    <xf numFmtId="164" fontId="4" fillId="0" borderId="0" xfId="1" applyNumberFormat="1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3" fontId="4" fillId="0" borderId="7" xfId="0" applyNumberFormat="1" applyFont="1" applyFill="1" applyBorder="1" applyProtection="1">
      <protection hidden="1"/>
    </xf>
    <xf numFmtId="43" fontId="4" fillId="0" borderId="7" xfId="1" applyFont="1" applyFill="1" applyBorder="1" applyProtection="1">
      <protection hidden="1"/>
    </xf>
    <xf numFmtId="43" fontId="4" fillId="0" borderId="8" xfId="1" applyFont="1" applyFill="1" applyBorder="1" applyProtection="1">
      <protection hidden="1"/>
    </xf>
    <xf numFmtId="4" fontId="4" fillId="0" borderId="7" xfId="0" applyNumberFormat="1" applyFont="1" applyFill="1" applyBorder="1" applyProtection="1">
      <protection hidden="1"/>
    </xf>
    <xf numFmtId="4" fontId="4" fillId="0" borderId="0" xfId="0" applyNumberFormat="1" applyFont="1" applyFill="1" applyBorder="1" applyProtection="1">
      <protection hidden="1"/>
    </xf>
    <xf numFmtId="4" fontId="4" fillId="0" borderId="0" xfId="1" applyNumberFormat="1" applyFont="1" applyFill="1" applyBorder="1" applyProtection="1">
      <protection hidden="1"/>
    </xf>
    <xf numFmtId="4" fontId="4" fillId="0" borderId="8" xfId="0" applyNumberFormat="1" applyFont="1" applyFill="1" applyBorder="1" applyProtection="1">
      <protection hidden="1"/>
    </xf>
    <xf numFmtId="166" fontId="4" fillId="0" borderId="7" xfId="2" applyNumberFormat="1" applyFont="1" applyFill="1" applyBorder="1" applyProtection="1">
      <protection hidden="1"/>
    </xf>
    <xf numFmtId="10" fontId="4" fillId="0" borderId="8" xfId="2" applyNumberFormat="1" applyFont="1" applyFill="1" applyBorder="1" applyProtection="1">
      <protection hidden="1"/>
    </xf>
    <xf numFmtId="164" fontId="4" fillId="0" borderId="2" xfId="1" applyNumberFormat="1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6" fillId="0" borderId="11" xfId="0" applyFont="1" applyFill="1" applyBorder="1" applyAlignment="1" applyProtection="1">
      <alignment horizontal="left"/>
      <protection hidden="1"/>
    </xf>
    <xf numFmtId="0" fontId="6" fillId="0" borderId="10" xfId="0" applyFont="1" applyFill="1" applyBorder="1" applyProtection="1">
      <protection hidden="1"/>
    </xf>
    <xf numFmtId="164" fontId="6" fillId="0" borderId="10" xfId="0" applyNumberFormat="1" applyFont="1" applyFill="1" applyBorder="1" applyProtection="1">
      <protection hidden="1"/>
    </xf>
    <xf numFmtId="164" fontId="6" fillId="0" borderId="9" xfId="0" applyNumberFormat="1" applyFont="1" applyFill="1" applyBorder="1" applyProtection="1">
      <protection hidden="1"/>
    </xf>
    <xf numFmtId="164" fontId="6" fillId="0" borderId="11" xfId="0" applyNumberFormat="1" applyFont="1" applyFill="1" applyBorder="1" applyProtection="1">
      <protection hidden="1"/>
    </xf>
    <xf numFmtId="0" fontId="0" fillId="4" borderId="2" xfId="0" applyFill="1" applyBorder="1" applyAlignment="1" applyProtection="1">
      <alignment vertical="center"/>
      <protection hidden="1"/>
    </xf>
    <xf numFmtId="0" fontId="3" fillId="4" borderId="2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3" fontId="4" fillId="0" borderId="0" xfId="0" applyNumberFormat="1" applyFont="1" applyAlignment="1">
      <alignment vertical="top"/>
    </xf>
    <xf numFmtId="3" fontId="4" fillId="0" borderId="6" xfId="1" applyNumberFormat="1" applyFont="1" applyFill="1" applyBorder="1" applyProtection="1">
      <protection hidden="1"/>
    </xf>
    <xf numFmtId="3" fontId="4" fillId="0" borderId="5" xfId="1" applyNumberFormat="1" applyFont="1" applyFill="1" applyBorder="1" applyProtection="1">
      <protection hidden="1"/>
    </xf>
    <xf numFmtId="9" fontId="4" fillId="0" borderId="4" xfId="2" applyNumberFormat="1" applyFont="1" applyFill="1" applyBorder="1" applyProtection="1">
      <protection hidden="1"/>
    </xf>
    <xf numFmtId="9" fontId="4" fillId="0" borderId="6" xfId="0" applyNumberFormat="1" applyFont="1" applyFill="1" applyBorder="1" applyProtection="1">
      <protection hidden="1"/>
    </xf>
    <xf numFmtId="165" fontId="4" fillId="0" borderId="4" xfId="1" applyNumberFormat="1" applyFont="1" applyFill="1" applyBorder="1" applyProtection="1">
      <protection hidden="1"/>
    </xf>
    <xf numFmtId="165" fontId="4" fillId="0" borderId="6" xfId="1" applyNumberFormat="1" applyFont="1" applyFill="1" applyBorder="1" applyProtection="1">
      <protection hidden="1"/>
    </xf>
    <xf numFmtId="165" fontId="4" fillId="0" borderId="5" xfId="1" applyNumberFormat="1" applyFont="1" applyFill="1" applyBorder="1" applyProtection="1">
      <protection hidden="1"/>
    </xf>
    <xf numFmtId="166" fontId="4" fillId="0" borderId="22" xfId="2" applyNumberFormat="1" applyFont="1" applyFill="1" applyBorder="1" applyProtection="1">
      <protection hidden="1"/>
    </xf>
    <xf numFmtId="3" fontId="4" fillId="0" borderId="0" xfId="1" applyNumberFormat="1" applyFont="1" applyFill="1" applyBorder="1" applyProtection="1">
      <protection hidden="1"/>
    </xf>
    <xf numFmtId="3" fontId="4" fillId="0" borderId="8" xfId="1" applyNumberFormat="1" applyFont="1" applyFill="1" applyBorder="1" applyProtection="1">
      <protection hidden="1"/>
    </xf>
    <xf numFmtId="9" fontId="4" fillId="0" borderId="7" xfId="2" applyNumberFormat="1" applyFont="1" applyFill="1" applyBorder="1" applyProtection="1">
      <protection hidden="1"/>
    </xf>
    <xf numFmtId="165" fontId="4" fillId="0" borderId="7" xfId="1" applyNumberFormat="1" applyFont="1" applyFill="1" applyBorder="1" applyProtection="1">
      <protection hidden="1"/>
    </xf>
    <xf numFmtId="165" fontId="4" fillId="0" borderId="0" xfId="1" applyNumberFormat="1" applyFont="1" applyFill="1" applyBorder="1" applyProtection="1">
      <protection hidden="1"/>
    </xf>
    <xf numFmtId="165" fontId="4" fillId="0" borderId="8" xfId="1" applyNumberFormat="1" applyFont="1" applyFill="1" applyBorder="1" applyProtection="1">
      <protection hidden="1"/>
    </xf>
    <xf numFmtId="0" fontId="4" fillId="0" borderId="23" xfId="0" applyFont="1" applyFill="1" applyBorder="1" applyProtection="1">
      <protection hidden="1"/>
    </xf>
    <xf numFmtId="3" fontId="4" fillId="0" borderId="2" xfId="1" applyNumberFormat="1" applyFont="1" applyFill="1" applyBorder="1" applyProtection="1">
      <protection hidden="1"/>
    </xf>
    <xf numFmtId="3" fontId="4" fillId="0" borderId="3" xfId="1" applyNumberFormat="1" applyFont="1" applyFill="1" applyBorder="1" applyProtection="1">
      <protection hidden="1"/>
    </xf>
    <xf numFmtId="165" fontId="4" fillId="0" borderId="2" xfId="1" applyNumberFormat="1" applyFont="1" applyFill="1" applyBorder="1" applyProtection="1">
      <protection hidden="1"/>
    </xf>
    <xf numFmtId="165" fontId="4" fillId="0" borderId="3" xfId="1" applyNumberFormat="1" applyFont="1" applyFill="1" applyBorder="1" applyProtection="1">
      <protection hidden="1"/>
    </xf>
    <xf numFmtId="3" fontId="6" fillId="0" borderId="9" xfId="1" applyNumberFormat="1" applyFont="1" applyFill="1" applyBorder="1" applyProtection="1">
      <protection hidden="1"/>
    </xf>
    <xf numFmtId="3" fontId="6" fillId="0" borderId="10" xfId="1" applyNumberFormat="1" applyFont="1" applyFill="1" applyBorder="1" applyProtection="1">
      <protection hidden="1"/>
    </xf>
    <xf numFmtId="3" fontId="6" fillId="0" borderId="10" xfId="0" applyNumberFormat="1" applyFont="1" applyFill="1" applyBorder="1" applyProtection="1">
      <protection hidden="1"/>
    </xf>
    <xf numFmtId="4" fontId="6" fillId="0" borderId="9" xfId="0" applyNumberFormat="1" applyFont="1" applyFill="1" applyBorder="1" applyProtection="1">
      <protection hidden="1"/>
    </xf>
    <xf numFmtId="4" fontId="6" fillId="0" borderId="10" xfId="0" applyNumberFormat="1" applyFont="1" applyFill="1" applyBorder="1" applyProtection="1">
      <protection hidden="1"/>
    </xf>
    <xf numFmtId="3" fontId="6" fillId="0" borderId="9" xfId="0" applyNumberFormat="1" applyFont="1" applyFill="1" applyBorder="1" applyProtection="1">
      <protection hidden="1"/>
    </xf>
    <xf numFmtId="4" fontId="6" fillId="0" borderId="11" xfId="0" applyNumberFormat="1" applyFont="1" applyFill="1" applyBorder="1" applyProtection="1">
      <protection hidden="1"/>
    </xf>
    <xf numFmtId="4" fontId="6" fillId="0" borderId="21" xfId="0" applyNumberFormat="1" applyFont="1" applyFill="1" applyBorder="1" applyProtection="1">
      <protection hidden="1"/>
    </xf>
    <xf numFmtId="0" fontId="6" fillId="0" borderId="21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164" fontId="4" fillId="0" borderId="0" xfId="0" applyNumberFormat="1" applyFont="1" applyFill="1" applyBorder="1" applyAlignment="1" applyProtection="1">
      <alignment horizontal="left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 wrapText="1"/>
      <protection hidden="1"/>
    </xf>
    <xf numFmtId="0" fontId="3" fillId="3" borderId="18" xfId="0" applyFont="1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vertical="center"/>
      <protection hidden="1"/>
    </xf>
    <xf numFmtId="164" fontId="0" fillId="4" borderId="0" xfId="1" applyNumberFormat="1" applyFont="1" applyFill="1" applyBorder="1" applyAlignment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3" borderId="14" xfId="0" applyFill="1" applyBorder="1" applyAlignment="1" applyProtection="1">
      <alignment vertical="center"/>
      <protection hidden="1"/>
    </xf>
    <xf numFmtId="0" fontId="0" fillId="4" borderId="19" xfId="0" applyFill="1" applyBorder="1" applyAlignment="1" applyProtection="1">
      <alignment vertical="center"/>
      <protection hidden="1"/>
    </xf>
    <xf numFmtId="0" fontId="3" fillId="4" borderId="19" xfId="0" applyFont="1" applyFill="1" applyBorder="1" applyAlignment="1" applyProtection="1">
      <alignment vertical="center"/>
      <protection hidden="1"/>
    </xf>
    <xf numFmtId="0" fontId="0" fillId="4" borderId="18" xfId="0" applyFill="1" applyBorder="1" applyAlignment="1" applyProtection="1">
      <alignment vertical="center"/>
      <protection hidden="1"/>
    </xf>
    <xf numFmtId="0" fontId="3" fillId="4" borderId="18" xfId="0" applyFont="1" applyFill="1" applyBorder="1" applyAlignment="1" applyProtection="1">
      <alignment vertical="center"/>
      <protection hidden="1"/>
    </xf>
    <xf numFmtId="4" fontId="4" fillId="0" borderId="11" xfId="1" applyNumberFormat="1" applyFont="1" applyFill="1" applyBorder="1" applyProtection="1">
      <protection hidden="1"/>
    </xf>
    <xf numFmtId="4" fontId="4" fillId="0" borderId="10" xfId="1" applyNumberFormat="1" applyFont="1" applyFill="1" applyBorder="1" applyAlignment="1" applyProtection="1">
      <alignment horizontal="center" textRotation="90" wrapText="1"/>
      <protection hidden="1"/>
    </xf>
    <xf numFmtId="4" fontId="4" fillId="0" borderId="11" xfId="1" applyNumberFormat="1" applyFont="1" applyFill="1" applyBorder="1" applyAlignment="1" applyProtection="1">
      <alignment horizontal="center" textRotation="90" wrapText="1"/>
      <protection hidden="1"/>
    </xf>
    <xf numFmtId="170" fontId="4" fillId="0" borderId="6" xfId="0" applyNumberFormat="1" applyFont="1" applyFill="1" applyBorder="1" applyProtection="1">
      <protection hidden="1"/>
    </xf>
    <xf numFmtId="170" fontId="4" fillId="0" borderId="0" xfId="0" applyNumberFormat="1" applyFont="1" applyFill="1" applyBorder="1" applyProtection="1">
      <protection hidden="1"/>
    </xf>
    <xf numFmtId="166" fontId="4" fillId="0" borderId="8" xfId="2" applyNumberFormat="1" applyFont="1" applyFill="1" applyBorder="1" applyProtection="1">
      <protection hidden="1"/>
    </xf>
    <xf numFmtId="166" fontId="4" fillId="0" borderId="0" xfId="2" applyNumberFormat="1" applyFont="1" applyFill="1" applyBorder="1" applyProtection="1">
      <protection hidden="1"/>
    </xf>
    <xf numFmtId="166" fontId="4" fillId="0" borderId="1" xfId="2" applyNumberFormat="1" applyFont="1" applyFill="1" applyBorder="1" applyProtection="1">
      <protection hidden="1"/>
    </xf>
    <xf numFmtId="166" fontId="4" fillId="0" borderId="2" xfId="2" applyNumberFormat="1" applyFont="1" applyFill="1" applyBorder="1" applyProtection="1">
      <protection hidden="1"/>
    </xf>
    <xf numFmtId="4" fontId="6" fillId="0" borderId="10" xfId="1" applyNumberFormat="1" applyFont="1" applyFill="1" applyBorder="1" applyProtection="1">
      <protection hidden="1"/>
    </xf>
    <xf numFmtId="4" fontId="6" fillId="0" borderId="11" xfId="1" applyNumberFormat="1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171" fontId="4" fillId="0" borderId="4" xfId="0" applyNumberFormat="1" applyFont="1" applyFill="1" applyBorder="1" applyProtection="1">
      <protection hidden="1"/>
    </xf>
    <xf numFmtId="171" fontId="4" fillId="0" borderId="6" xfId="0" applyNumberFormat="1" applyFont="1" applyFill="1" applyBorder="1" applyProtection="1">
      <protection hidden="1"/>
    </xf>
    <xf numFmtId="171" fontId="4" fillId="0" borderId="7" xfId="0" applyNumberFormat="1" applyFont="1" applyFill="1" applyBorder="1" applyProtection="1">
      <protection hidden="1"/>
    </xf>
    <xf numFmtId="171" fontId="4" fillId="0" borderId="0" xfId="0" applyNumberFormat="1" applyFont="1" applyFill="1" applyBorder="1" applyProtection="1">
      <protection hidden="1"/>
    </xf>
    <xf numFmtId="171" fontId="4" fillId="0" borderId="2" xfId="0" applyNumberFormat="1" applyFont="1" applyFill="1" applyBorder="1" applyProtection="1">
      <protection hidden="1"/>
    </xf>
    <xf numFmtId="2" fontId="0" fillId="3" borderId="0" xfId="0" applyNumberFormat="1" applyFill="1" applyBorder="1" applyAlignment="1" applyProtection="1">
      <alignment vertical="center"/>
      <protection hidden="1"/>
    </xf>
    <xf numFmtId="3" fontId="0" fillId="3" borderId="0" xfId="0" applyNumberFormat="1" applyFill="1" applyBorder="1" applyAlignment="1" applyProtection="1">
      <alignment vertical="center"/>
      <protection hidden="1"/>
    </xf>
    <xf numFmtId="0" fontId="4" fillId="0" borderId="5" xfId="0" applyFont="1" applyBorder="1" applyAlignment="1">
      <alignment horizontal="center" textRotation="90"/>
    </xf>
    <xf numFmtId="166" fontId="0" fillId="3" borderId="0" xfId="2" applyNumberFormat="1" applyFont="1" applyFill="1" applyBorder="1" applyAlignment="1" applyProtection="1">
      <alignment vertical="center"/>
      <protection hidden="1"/>
    </xf>
    <xf numFmtId="166" fontId="0" fillId="4" borderId="0" xfId="2" applyNumberFormat="1" applyFont="1" applyFill="1" applyAlignment="1" applyProtection="1">
      <alignment vertical="center"/>
      <protection hidden="1"/>
    </xf>
    <xf numFmtId="43" fontId="0" fillId="3" borderId="0" xfId="0" applyNumberFormat="1" applyFill="1" applyAlignment="1" applyProtection="1">
      <alignment vertical="center"/>
      <protection hidden="1"/>
    </xf>
    <xf numFmtId="172" fontId="0" fillId="4" borderId="18" xfId="0" applyNumberFormat="1" applyFill="1" applyBorder="1" applyAlignment="1" applyProtection="1">
      <alignment vertical="center"/>
      <protection hidden="1"/>
    </xf>
    <xf numFmtId="0" fontId="0" fillId="7" borderId="0" xfId="0" applyFill="1" applyProtection="1">
      <protection hidden="1"/>
    </xf>
    <xf numFmtId="0" fontId="13" fillId="0" borderId="0" xfId="0" applyFont="1" applyAlignment="1" applyProtection="1">
      <alignment vertical="center" wrapText="1"/>
      <protection hidden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0"/>
  <sheetViews>
    <sheetView tabSelected="1" zoomScaleNormal="100" workbookViewId="0">
      <selection activeCell="C5" sqref="C5"/>
    </sheetView>
  </sheetViews>
  <sheetFormatPr baseColWidth="10" defaultColWidth="0" defaultRowHeight="12.75" zeroHeight="1" x14ac:dyDescent="0.2"/>
  <cols>
    <col min="1" max="1" width="1.85546875" style="6" customWidth="1"/>
    <col min="2" max="2" width="115.42578125" style="6" customWidth="1"/>
    <col min="3" max="3" width="65.140625" style="6" bestFit="1" customWidth="1"/>
    <col min="4" max="4" width="5.42578125" style="6" customWidth="1"/>
    <col min="5" max="5" width="16.140625" style="6" customWidth="1"/>
    <col min="6" max="6" width="1.85546875" style="6" customWidth="1"/>
    <col min="7" max="16384" width="11.42578125" style="6" hidden="1"/>
  </cols>
  <sheetData>
    <row r="1" spans="1:19" s="1" customFormat="1" ht="15" x14ac:dyDescent="0.2">
      <c r="B1" s="2" t="s">
        <v>94</v>
      </c>
      <c r="C1" s="2"/>
      <c r="D1" s="2"/>
    </row>
    <row r="2" spans="1:19" s="1" customFormat="1" ht="27.75" customHeight="1" x14ac:dyDescent="0.2">
      <c r="B2" s="4" t="s">
        <v>95</v>
      </c>
      <c r="C2" s="4"/>
      <c r="D2" s="4"/>
    </row>
    <row r="3" spans="1:19" s="1" customFormat="1" ht="35.25" customHeight="1" x14ac:dyDescent="0.2">
      <c r="B3" s="5" t="str">
        <f>CONCATENATE("Definitive Finanzausgleichsbeiträge ",$C$7)</f>
        <v>Definitive Finanzausgleichsbeiträge 2019</v>
      </c>
      <c r="C3" s="224"/>
      <c r="D3" s="5"/>
    </row>
    <row r="4" spans="1:19" s="1" customFormat="1" x14ac:dyDescent="0.2"/>
    <row r="5" spans="1:19" s="1" customFormat="1" ht="15.75" x14ac:dyDescent="0.2">
      <c r="B5" s="4" t="s">
        <v>96</v>
      </c>
      <c r="C5" s="92"/>
      <c r="S5" s="3"/>
    </row>
    <row r="6" spans="1:19" s="1" customFormat="1" x14ac:dyDescent="0.2">
      <c r="B6" s="4"/>
      <c r="S6" s="3"/>
    </row>
    <row r="7" spans="1:19" s="1" customFormat="1" ht="15.75" x14ac:dyDescent="0.2">
      <c r="B7" s="4" t="s">
        <v>97</v>
      </c>
      <c r="C7" s="94">
        <v>2019</v>
      </c>
      <c r="S7" s="3"/>
    </row>
    <row r="8" spans="1:19" ht="15" customHeight="1" thickBot="1" x14ac:dyDescent="0.25">
      <c r="G8" s="93"/>
    </row>
    <row r="9" spans="1:19" s="2" customFormat="1" ht="22.5" customHeight="1" thickBot="1" x14ac:dyDescent="0.25">
      <c r="A9" s="69"/>
      <c r="B9" s="69" t="s">
        <v>263</v>
      </c>
      <c r="C9" s="69"/>
      <c r="D9" s="69"/>
      <c r="E9" s="69"/>
      <c r="F9" s="69"/>
    </row>
    <row r="10" spans="1:19" ht="5.25" customHeight="1" x14ac:dyDescent="0.2"/>
    <row r="11" spans="1:19" s="1" customFormat="1" ht="17.25" customHeight="1" x14ac:dyDescent="0.2">
      <c r="A11" s="12"/>
      <c r="B11" s="12" t="s">
        <v>135</v>
      </c>
      <c r="C11" s="12"/>
      <c r="D11" s="12" t="s">
        <v>105</v>
      </c>
      <c r="E11" s="70" t="e">
        <f>E30</f>
        <v>#N/A</v>
      </c>
      <c r="F11" s="12"/>
    </row>
    <row r="12" spans="1:19" s="1" customFormat="1" ht="17.25" customHeight="1" x14ac:dyDescent="0.2">
      <c r="A12" s="71"/>
      <c r="B12" s="71" t="s">
        <v>136</v>
      </c>
      <c r="C12" s="71"/>
      <c r="D12" s="71" t="s">
        <v>105</v>
      </c>
      <c r="E12" s="72" t="e">
        <f>E48</f>
        <v>#N/A</v>
      </c>
      <c r="F12" s="71"/>
    </row>
    <row r="13" spans="1:19" s="1" customFormat="1" ht="17.25" customHeight="1" x14ac:dyDescent="0.2">
      <c r="A13" s="71"/>
      <c r="B13" s="71" t="s">
        <v>137</v>
      </c>
      <c r="C13" s="71"/>
      <c r="D13" s="71" t="s">
        <v>105</v>
      </c>
      <c r="E13" s="72" t="e">
        <f>E111</f>
        <v>#N/A</v>
      </c>
      <c r="F13" s="71"/>
    </row>
    <row r="14" spans="1:19" s="1" customFormat="1" ht="17.25" customHeight="1" x14ac:dyDescent="0.2">
      <c r="A14" s="71"/>
      <c r="B14" s="71" t="s">
        <v>138</v>
      </c>
      <c r="C14" s="71"/>
      <c r="D14" s="71" t="s">
        <v>105</v>
      </c>
      <c r="E14" s="72" t="e">
        <f>E83</f>
        <v>#N/A</v>
      </c>
      <c r="F14" s="71"/>
    </row>
    <row r="15" spans="1:19" s="1" customFormat="1" ht="17.25" customHeight="1" x14ac:dyDescent="0.2">
      <c r="A15" s="73"/>
      <c r="B15" s="73" t="s">
        <v>139</v>
      </c>
      <c r="C15" s="73"/>
      <c r="D15" s="73" t="s">
        <v>105</v>
      </c>
      <c r="E15" s="74">
        <f>E117</f>
        <v>0</v>
      </c>
      <c r="F15" s="73"/>
    </row>
    <row r="16" spans="1:19" s="1" customFormat="1" ht="17.25" customHeight="1" x14ac:dyDescent="0.2">
      <c r="A16" s="75"/>
      <c r="B16" s="75" t="s">
        <v>140</v>
      </c>
      <c r="C16" s="75"/>
      <c r="D16" s="75" t="s">
        <v>105</v>
      </c>
      <c r="E16" s="76" t="e">
        <f>E126</f>
        <v>#N/A</v>
      </c>
      <c r="F16" s="75"/>
    </row>
    <row r="17" spans="1:6" s="1" customFormat="1" ht="17.25" customHeight="1" x14ac:dyDescent="0.2">
      <c r="A17" s="77"/>
      <c r="B17" s="77" t="s">
        <v>141</v>
      </c>
      <c r="C17" s="77"/>
      <c r="D17" s="77" t="s">
        <v>105</v>
      </c>
      <c r="E17" s="78" t="e">
        <f>E130</f>
        <v>#N/A</v>
      </c>
      <c r="F17" s="77"/>
    </row>
    <row r="18" spans="1:6" s="4" customFormat="1" ht="22.5" customHeight="1" x14ac:dyDescent="0.2">
      <c r="A18" s="79"/>
      <c r="B18" s="79" t="s">
        <v>262</v>
      </c>
      <c r="C18" s="79"/>
      <c r="D18" s="79" t="s">
        <v>105</v>
      </c>
      <c r="E18" s="80" t="e">
        <f>SUM(E11:E17)</f>
        <v>#N/A</v>
      </c>
      <c r="F18" s="79"/>
    </row>
    <row r="19" spans="1:6" s="1" customFormat="1" ht="17.25" customHeight="1" x14ac:dyDescent="0.2">
      <c r="A19" s="81"/>
      <c r="B19" s="81" t="s">
        <v>142</v>
      </c>
      <c r="C19" s="81"/>
      <c r="D19" s="81" t="s">
        <v>105</v>
      </c>
      <c r="E19" s="82" t="e">
        <f>E18/VLOOKUP($C$5,Basis!$B$5:$BL$81,14,FALSE)</f>
        <v>#N/A</v>
      </c>
      <c r="F19" s="81"/>
    </row>
    <row r="20" spans="1:6" ht="23.25" customHeight="1" thickBot="1" x14ac:dyDescent="0.25"/>
    <row r="21" spans="1:6" s="9" customFormat="1" ht="22.5" customHeight="1" thickBot="1" x14ac:dyDescent="0.25">
      <c r="A21" s="7"/>
      <c r="B21" s="8" t="s">
        <v>98</v>
      </c>
      <c r="C21" s="7"/>
      <c r="D21" s="7"/>
      <c r="E21" s="7"/>
      <c r="F21" s="7"/>
    </row>
    <row r="22" spans="1:6" ht="5.25" customHeight="1" x14ac:dyDescent="0.25">
      <c r="A22" s="10"/>
      <c r="B22" s="11"/>
      <c r="C22" s="10"/>
      <c r="D22" s="10"/>
      <c r="E22" s="10"/>
      <c r="F22" s="10"/>
    </row>
    <row r="23" spans="1:6" s="1" customFormat="1" ht="22.5" customHeight="1" x14ac:dyDescent="0.2">
      <c r="A23" s="12"/>
      <c r="B23" s="13" t="s">
        <v>99</v>
      </c>
      <c r="C23" s="14"/>
      <c r="D23" s="14"/>
      <c r="E23" s="12"/>
      <c r="F23" s="12"/>
    </row>
    <row r="24" spans="1:6" s="1" customFormat="1" ht="22.5" customHeight="1" x14ac:dyDescent="0.2">
      <c r="A24" s="15"/>
      <c r="B24" s="16" t="str">
        <f>CONCATENATE("Politische Gemeinde ",$C$5," ",$C$7,"; definitive Daten")</f>
        <v>Politische Gemeinde  2019; definitive Daten</v>
      </c>
      <c r="C24" s="15"/>
      <c r="D24" s="15"/>
      <c r="E24" s="15"/>
      <c r="F24" s="15"/>
    </row>
    <row r="25" spans="1:6" s="1" customFormat="1" ht="34.5" customHeight="1" x14ac:dyDescent="0.2">
      <c r="A25" s="17"/>
      <c r="B25" s="18" t="s">
        <v>100</v>
      </c>
      <c r="C25" s="19" t="s">
        <v>174</v>
      </c>
      <c r="D25" s="19"/>
      <c r="E25" s="17"/>
      <c r="F25" s="17"/>
    </row>
    <row r="26" spans="1:6" ht="17.25" customHeight="1" x14ac:dyDescent="0.2">
      <c r="A26" s="20"/>
      <c r="B26" s="21" t="s">
        <v>101</v>
      </c>
      <c r="C26" s="21" t="s">
        <v>102</v>
      </c>
      <c r="D26" s="21" t="s">
        <v>103</v>
      </c>
      <c r="E26" s="22" t="e">
        <f>VLOOKUP($C$5,Basis!$B$5:$BL$81,47,FALSE)</f>
        <v>#N/A</v>
      </c>
      <c r="F26" s="20"/>
    </row>
    <row r="27" spans="1:6" ht="17.25" customHeight="1" x14ac:dyDescent="0.3">
      <c r="A27" s="23"/>
      <c r="B27" s="21" t="str">
        <f>CONCATENATE("Kantonaler Durchschnitt der technischen Steuerkraft der Jahre ",$C$7-3," und ",$C$7-2)</f>
        <v>Kantonaler Durchschnitt der technischen Steuerkraft der Jahre 2016 und 2017</v>
      </c>
      <c r="C27" s="21" t="s">
        <v>104</v>
      </c>
      <c r="D27" s="21" t="s">
        <v>105</v>
      </c>
      <c r="E27" s="24" t="e">
        <f>VLOOKUP($C$5,Basis!$B$5:$BL$81,46,FALSE)</f>
        <v>#N/A</v>
      </c>
      <c r="F27" s="23"/>
    </row>
    <row r="28" spans="1:6" ht="17.25" customHeight="1" x14ac:dyDescent="0.3">
      <c r="A28" s="23"/>
      <c r="B28" s="21" t="str">
        <f>CONCATENATE("Durchschnitt der technischen Steuerkraft der Gemeinde ",$C$5," in den Jahren ",$C$7-3," und ",$C$7-2)</f>
        <v>Durchschnitt der technischen Steuerkraft der Gemeinde  in den Jahren 2016 und 2017</v>
      </c>
      <c r="C28" s="21" t="s">
        <v>106</v>
      </c>
      <c r="D28" s="21" t="s">
        <v>105</v>
      </c>
      <c r="E28" s="24" t="e">
        <f>VLOOKUP($C$5,Basis!$B$5:$BL$81,45,FALSE)</f>
        <v>#N/A</v>
      </c>
      <c r="F28" s="23"/>
    </row>
    <row r="29" spans="1:6" ht="17.25" customHeight="1" x14ac:dyDescent="0.3">
      <c r="A29" s="23"/>
      <c r="B29" s="21" t="str">
        <f>CONCATENATE("Einwohnerzahl der Gemeinde ",$C$5," Ende ",$C$7-3)</f>
        <v>Einwohnerzahl der Gemeinde  Ende 2016</v>
      </c>
      <c r="C29" s="21" t="s">
        <v>107</v>
      </c>
      <c r="D29" s="21" t="s">
        <v>108</v>
      </c>
      <c r="E29" s="25" t="e">
        <f>VLOOKUP($C$5,Basis!$B$5:$BL$81,13,FALSE)</f>
        <v>#N/A</v>
      </c>
      <c r="F29" s="23"/>
    </row>
    <row r="30" spans="1:6" s="1" customFormat="1" ht="22.5" customHeight="1" x14ac:dyDescent="0.2">
      <c r="A30" s="26"/>
      <c r="B30" s="27" t="str">
        <f>CONCATENATE("Definitiver Beitrag an die Gemeinde ",$C$5," aus dem Ressourcenausgleich ",$C$7)</f>
        <v>Definitiver Beitrag an die Gemeinde  aus dem Ressourcenausgleich 2019</v>
      </c>
      <c r="C30" s="26" t="s">
        <v>109</v>
      </c>
      <c r="D30" s="26" t="s">
        <v>105</v>
      </c>
      <c r="E30" s="28" t="e">
        <f>IF(E28&lt;E26*E27,ROUND((E26*E27-E28)*E29,-2),0)</f>
        <v>#N/A</v>
      </c>
      <c r="F30" s="26"/>
    </row>
    <row r="31" spans="1:6" ht="5.25" customHeight="1" x14ac:dyDescent="0.2">
      <c r="A31" s="223"/>
      <c r="B31" s="223"/>
      <c r="C31" s="223"/>
      <c r="D31" s="223"/>
      <c r="E31" s="223"/>
      <c r="F31" s="223"/>
    </row>
    <row r="32" spans="1:6" s="4" customFormat="1" ht="22.5" customHeight="1" x14ac:dyDescent="0.2">
      <c r="A32" s="13"/>
      <c r="B32" s="13" t="s">
        <v>110</v>
      </c>
      <c r="C32" s="13"/>
      <c r="D32" s="13"/>
      <c r="E32" s="13"/>
      <c r="F32" s="13"/>
    </row>
    <row r="33" spans="1:6" s="4" customFormat="1" ht="22.5" customHeight="1" x14ac:dyDescent="0.2">
      <c r="A33" s="16"/>
      <c r="B33" s="16" t="str">
        <f>CONCATENATE("Politische Gemeinde ",$C$5," ",$C$7,"; definitive Daten")</f>
        <v>Politische Gemeinde  2019; definitive Daten</v>
      </c>
      <c r="C33" s="16"/>
      <c r="D33" s="16"/>
      <c r="E33" s="16"/>
      <c r="F33" s="16"/>
    </row>
    <row r="34" spans="1:6" s="50" customFormat="1" ht="22.5" customHeight="1" x14ac:dyDescent="0.2">
      <c r="A34" s="12"/>
      <c r="B34" s="14" t="s">
        <v>191</v>
      </c>
      <c r="C34" s="14" t="s">
        <v>175</v>
      </c>
      <c r="D34" s="12"/>
      <c r="E34" s="12"/>
      <c r="F34" s="12"/>
    </row>
    <row r="35" spans="1:6" s="1" customFormat="1" ht="22.5" customHeight="1" x14ac:dyDescent="0.2">
      <c r="A35" s="71"/>
      <c r="B35" s="186" t="s">
        <v>190</v>
      </c>
      <c r="C35" s="186" t="s">
        <v>178</v>
      </c>
      <c r="D35" s="71"/>
      <c r="E35" s="71"/>
      <c r="F35" s="71"/>
    </row>
    <row r="36" spans="1:6" s="1" customFormat="1" ht="22.5" customHeight="1" x14ac:dyDescent="0.2">
      <c r="A36" s="73"/>
      <c r="B36" s="188" t="s">
        <v>177</v>
      </c>
      <c r="C36" s="188" t="s">
        <v>179</v>
      </c>
      <c r="D36" s="73"/>
      <c r="E36" s="73"/>
      <c r="F36" s="73"/>
    </row>
    <row r="37" spans="1:6" s="1" customFormat="1" ht="22.5" customHeight="1" x14ac:dyDescent="0.2">
      <c r="A37" s="71"/>
      <c r="B37" s="186" t="str">
        <f>CONCATENATE("Standardisierter Indikator der gewichteten Strassenlänge je Einwohner/in der Gemeinde ",C5," per Ende ",C7-2)</f>
        <v>Standardisierter Indikator der gewichteten Strassenlänge je Einwohner/in der Gemeinde  per Ende 2017</v>
      </c>
      <c r="C37" s="186" t="s">
        <v>180</v>
      </c>
      <c r="D37" s="71" t="s">
        <v>120</v>
      </c>
      <c r="E37" s="71" t="e">
        <f>VLOOKUP($C$5,Basis!$B$5:$BL$81,49,FALSE)</f>
        <v>#N/A</v>
      </c>
      <c r="F37" s="71"/>
    </row>
    <row r="38" spans="1:6" s="1" customFormat="1" ht="22.5" customHeight="1" x14ac:dyDescent="0.2">
      <c r="A38" s="71"/>
      <c r="B38" s="187" t="str">
        <f>CONCATENATE("Standardisierter Indikator des Anteils der Einwohner/innen mit Wohnsitz über 800 Meter über Meer der Gemeinde ",C5," per Ende ",C7-2)</f>
        <v>Standardisierter Indikator des Anteils der Einwohner/innen mit Wohnsitz über 800 Meter über Meer der Gemeinde  per Ende 2017</v>
      </c>
      <c r="C38" s="186" t="s">
        <v>181</v>
      </c>
      <c r="D38" s="71" t="s">
        <v>120</v>
      </c>
      <c r="E38" s="71" t="e">
        <f>VLOOKUP($C$5,Basis!$B$5:$BL$81,50,FALSE)</f>
        <v>#N/A</v>
      </c>
      <c r="F38" s="71"/>
    </row>
    <row r="39" spans="1:6" s="1" customFormat="1" ht="22.5" customHeight="1" x14ac:dyDescent="0.2">
      <c r="A39" s="71"/>
      <c r="B39" s="186" t="s">
        <v>183</v>
      </c>
      <c r="C39" s="186" t="s">
        <v>184</v>
      </c>
      <c r="D39" s="71" t="s">
        <v>120</v>
      </c>
      <c r="E39" s="71" t="e">
        <f>VLOOKUP($C$5,Basis!$B$5:$BL$81,51,FALSE)</f>
        <v>#N/A</v>
      </c>
      <c r="F39" s="71"/>
    </row>
    <row r="40" spans="1:6" s="1" customFormat="1" ht="22.5" customHeight="1" x14ac:dyDescent="0.2">
      <c r="A40" s="71"/>
      <c r="B40" s="186" t="str">
        <f>CONCATENATE("Standardisierter Indikator der Gemeindefläche je Einwohner/in der Gemeinde ",C5," per Ende ",C7-2)</f>
        <v>Standardisierter Indikator der Gemeindefläche je Einwohner/in der Gemeinde  per Ende 2017</v>
      </c>
      <c r="C40" s="186" t="s">
        <v>182</v>
      </c>
      <c r="D40" s="71" t="s">
        <v>120</v>
      </c>
      <c r="E40" s="71" t="e">
        <f>VLOOKUP($C$5,Basis!$B$5:$BL$81,52,FALSE)</f>
        <v>#N/A</v>
      </c>
      <c r="F40" s="71"/>
    </row>
    <row r="41" spans="1:6" s="1" customFormat="1" ht="22.5" customHeight="1" x14ac:dyDescent="0.2">
      <c r="A41" s="71"/>
      <c r="B41" s="186" t="str">
        <f>CONCATENATE("Summe der gewichteten Indikatoren der Gemeinde ",C5," per Ende ",C7-2)</f>
        <v>Summe der gewichteten Indikatoren der Gemeinde  per Ende 2017</v>
      </c>
      <c r="C41" s="186" t="s">
        <v>185</v>
      </c>
      <c r="D41" s="71" t="s">
        <v>120</v>
      </c>
      <c r="E41" s="71" t="e">
        <f>E37+E38+E39+E40</f>
        <v>#N/A</v>
      </c>
      <c r="F41" s="71"/>
    </row>
    <row r="42" spans="1:6" s="1" customFormat="1" ht="22.5" customHeight="1" x14ac:dyDescent="0.2">
      <c r="A42" s="71"/>
      <c r="B42" s="186" t="s">
        <v>186</v>
      </c>
      <c r="C42" s="186" t="s">
        <v>187</v>
      </c>
      <c r="D42" s="71" t="s">
        <v>120</v>
      </c>
      <c r="E42" s="71" t="e">
        <f>VLOOKUP($C$5,Basis!$B$5:$BL$81,53,FALSE)</f>
        <v>#N/A</v>
      </c>
      <c r="F42" s="71"/>
    </row>
    <row r="43" spans="1:6" s="1" customFormat="1" ht="22.5" customHeight="1" x14ac:dyDescent="0.2">
      <c r="A43" s="71"/>
      <c r="B43" s="186" t="str">
        <f>CONCATENATE("Einwohnergewichtet standardisierter Indexwert Weite der Gemeinde ",C5," per Ende ",C7-2)</f>
        <v>Einwohnergewichtet standardisierter Indexwert Weite der Gemeinde  per Ende 2017</v>
      </c>
      <c r="C43" s="186" t="s">
        <v>238</v>
      </c>
      <c r="D43" s="71" t="s">
        <v>120</v>
      </c>
      <c r="E43" s="71" t="e">
        <f>E41/E42</f>
        <v>#N/A</v>
      </c>
      <c r="F43" s="71"/>
    </row>
    <row r="44" spans="1:6" s="1" customFormat="1" ht="17.25" customHeight="1" x14ac:dyDescent="0.2">
      <c r="A44" s="29"/>
      <c r="B44" s="30" t="str">
        <f>CONCATENATE("Einwohnerzahl der Gemeinde ",$C$5," Ende ",$C$7-2)</f>
        <v>Einwohnerzahl der Gemeinde  Ende 2017</v>
      </c>
      <c r="C44" s="30" t="s">
        <v>107</v>
      </c>
      <c r="D44" s="30" t="s">
        <v>108</v>
      </c>
      <c r="E44" s="217" t="e">
        <f>VLOOKUP($C$5,Basis!$B$5:$BL$81,14,FALSE)</f>
        <v>#N/A</v>
      </c>
      <c r="F44" s="29"/>
    </row>
    <row r="45" spans="1:6" s="1" customFormat="1" ht="17.25" customHeight="1" x14ac:dyDescent="0.2">
      <c r="A45" s="29"/>
      <c r="B45" s="30" t="s">
        <v>189</v>
      </c>
      <c r="C45" s="30" t="s">
        <v>111</v>
      </c>
      <c r="D45" s="30" t="s">
        <v>105</v>
      </c>
      <c r="E45" s="216" t="e">
        <f>VLOOKUP($C$5,Basis!$B$5:$BL$81,54,FALSE)</f>
        <v>#N/A</v>
      </c>
      <c r="F45" s="29"/>
    </row>
    <row r="46" spans="1:6" s="1" customFormat="1" ht="17.25" customHeight="1" x14ac:dyDescent="0.2">
      <c r="A46" s="29"/>
      <c r="B46" s="30" t="s">
        <v>188</v>
      </c>
      <c r="C46" s="30" t="s">
        <v>237</v>
      </c>
      <c r="D46" s="30" t="s">
        <v>103</v>
      </c>
      <c r="E46" s="219" t="e">
        <f>VLOOKUP($C$5,Basis!$B$5:$BL$81,55,FALSE)</f>
        <v>#N/A</v>
      </c>
      <c r="F46" s="29"/>
    </row>
    <row r="47" spans="1:6" s="1" customFormat="1" ht="17.25" customHeight="1" x14ac:dyDescent="0.2">
      <c r="A47" s="29"/>
      <c r="B47" s="30" t="s">
        <v>112</v>
      </c>
      <c r="C47" s="30"/>
      <c r="D47" s="30" t="s">
        <v>103</v>
      </c>
      <c r="E47" s="31" t="e">
        <f>VLOOKUP($C$5,Basis!$B$5:$BL$81,48,FALSE)</f>
        <v>#N/A</v>
      </c>
      <c r="F47" s="29"/>
    </row>
    <row r="48" spans="1:6" s="4" customFormat="1" ht="22.5" customHeight="1" x14ac:dyDescent="0.2">
      <c r="A48" s="26"/>
      <c r="B48" s="27" t="str">
        <f>CONCATENATE("Definitiver Beitrag an die Gemeinde ",$C$5," aus dem Sonderlastenausgleich Weite ",$C$7)</f>
        <v>Definitiver Beitrag an die Gemeinde  aus dem Sonderlastenausgleich Weite 2019</v>
      </c>
      <c r="C48" s="26" t="s">
        <v>113</v>
      </c>
      <c r="D48" s="26" t="s">
        <v>105</v>
      </c>
      <c r="E48" s="28" t="e">
        <f>IF(ROUND(E43*E44*E45*E46+(E43*E44*E45*E46)*E47,-2)&gt;0,ROUND(E43*E44*E45*E46+(E43*E44*E45*E46)*E47,-2),0)</f>
        <v>#N/A</v>
      </c>
      <c r="F48" s="26"/>
    </row>
    <row r="49" spans="1:6" ht="4.5" customHeight="1" x14ac:dyDescent="0.2">
      <c r="A49" s="223"/>
      <c r="B49" s="223"/>
      <c r="C49" s="223"/>
      <c r="D49" s="223"/>
      <c r="E49" s="223"/>
      <c r="F49" s="223"/>
    </row>
    <row r="50" spans="1:6" s="1" customFormat="1" ht="22.5" customHeight="1" x14ac:dyDescent="0.2">
      <c r="A50" s="13"/>
      <c r="B50" s="13" t="s">
        <v>171</v>
      </c>
      <c r="C50" s="13"/>
      <c r="D50" s="13"/>
      <c r="E50" s="13"/>
      <c r="F50" s="13"/>
    </row>
    <row r="51" spans="1:6" s="1" customFormat="1" ht="22.5" customHeight="1" x14ac:dyDescent="0.2">
      <c r="A51" s="16"/>
      <c r="B51" s="16" t="str">
        <f>CONCATENATE("Politische Gemeinde ",$C$5," ",$C$7,"; definitive Daten")</f>
        <v>Politische Gemeinde  2019; definitive Daten</v>
      </c>
      <c r="C51" s="16"/>
      <c r="D51" s="16"/>
      <c r="E51" s="16"/>
      <c r="F51" s="16"/>
    </row>
    <row r="52" spans="1:6" s="4" customFormat="1" ht="22.5" customHeight="1" x14ac:dyDescent="0.2">
      <c r="A52" s="32"/>
      <c r="B52" s="32" t="s">
        <v>114</v>
      </c>
      <c r="C52" s="32"/>
      <c r="D52" s="32"/>
      <c r="E52" s="32"/>
      <c r="F52" s="32"/>
    </row>
    <row r="53" spans="1:6" s="1" customFormat="1" ht="22.5" customHeight="1" x14ac:dyDescent="0.2">
      <c r="A53" s="33"/>
      <c r="B53" s="34" t="s">
        <v>115</v>
      </c>
      <c r="C53" s="34" t="s">
        <v>192</v>
      </c>
      <c r="D53" s="33"/>
      <c r="E53" s="33"/>
      <c r="F53" s="33"/>
    </row>
    <row r="54" spans="1:6" s="1" customFormat="1" ht="17.25" customHeight="1" x14ac:dyDescent="0.2">
      <c r="A54" s="35"/>
      <c r="B54" s="36" t="str">
        <f>CONCATENATE("Nettoaufwand der Gemeinde ",$C$5," für die Unterbringung von Kindern und Jugendlichen je Einwohner/in im Jahr ",$C$7-2)</f>
        <v>Nettoaufwand der Gemeinde  für die Unterbringung von Kindern und Jugendlichen je Einwohner/in im Jahr 2017</v>
      </c>
      <c r="C54" s="36" t="s">
        <v>193</v>
      </c>
      <c r="D54" s="36" t="s">
        <v>105</v>
      </c>
      <c r="E54" s="46" t="e">
        <f>VLOOKUP($C$5,Basis!$B$5:$BL$81,22,FALSE)/VLOOKUP($C$5,Basis!$B$5:$BL$81,14,FALSE)</f>
        <v>#N/A</v>
      </c>
      <c r="F54" s="35"/>
    </row>
    <row r="55" spans="1:6" s="1" customFormat="1" ht="17.25" customHeight="1" x14ac:dyDescent="0.2">
      <c r="A55" s="35"/>
      <c r="B55" s="36" t="str">
        <f>CONCATENATE("Nettoaufwand für die Unterbringung von Kindern und Jugendlichen je Einwohner/in im kantonalen Durchschnitt im Jahr ",$C$7-2)</f>
        <v>Nettoaufwand für die Unterbringung von Kindern und Jugendlichen je Einwohner/in im kantonalen Durchschnitt im Jahr 2017</v>
      </c>
      <c r="C55" s="36" t="s">
        <v>194</v>
      </c>
      <c r="D55" s="36" t="s">
        <v>105</v>
      </c>
      <c r="E55" s="46">
        <f>Basis!W82/Basis!O82</f>
        <v>31.548589657727774</v>
      </c>
      <c r="F55" s="35"/>
    </row>
    <row r="56" spans="1:6" s="1" customFormat="1" ht="17.25" customHeight="1" x14ac:dyDescent="0.2">
      <c r="A56" s="35"/>
      <c r="B56" s="36" t="str">
        <f>CONCATENATE("Einwohnerzahl der Gemeinde ",$C$5," Ende ",$C$7-2)</f>
        <v>Einwohnerzahl der Gemeinde  Ende 2017</v>
      </c>
      <c r="C56" s="36" t="s">
        <v>161</v>
      </c>
      <c r="D56" s="36" t="s">
        <v>108</v>
      </c>
      <c r="E56" s="38" t="e">
        <f>VLOOKUP($C$5,Basis!$B$5:$BL$81,14,FALSE)</f>
        <v>#N/A</v>
      </c>
      <c r="F56" s="35"/>
    </row>
    <row r="57" spans="1:6" s="1" customFormat="1" ht="17.25" customHeight="1" x14ac:dyDescent="0.2">
      <c r="A57" s="35"/>
      <c r="B57" s="36" t="s">
        <v>195</v>
      </c>
      <c r="C57" s="36" t="s">
        <v>196</v>
      </c>
      <c r="D57" s="36" t="s">
        <v>103</v>
      </c>
      <c r="E57" s="220" t="e">
        <f>VLOOKUP($C$5,Basis!$B$5:$BL$81,61,FALSE)</f>
        <v>#N/A</v>
      </c>
      <c r="F57" s="35"/>
    </row>
    <row r="58" spans="1:6" s="1" customFormat="1" ht="22.5" customHeight="1" x14ac:dyDescent="0.2">
      <c r="A58" s="39"/>
      <c r="B58" s="39" t="str">
        <f>CONCATENATE("Definitiver Beitrag an die Kosten für die Unterbringung von Kindern und Jugendlichen ",$C$7," an die Gemeinde ",$C$5)</f>
        <v xml:space="preserve">Definitiver Beitrag an die Kosten für die Unterbringung von Kindern und Jugendlichen 2019 an die Gemeinde </v>
      </c>
      <c r="C58" s="40" t="s">
        <v>162</v>
      </c>
      <c r="D58" s="40" t="s">
        <v>105</v>
      </c>
      <c r="E58" s="41" t="e">
        <f>IF((E54-E55)*E56*E57&gt;0,(E54-E55)*E56*E57,0)</f>
        <v>#N/A</v>
      </c>
      <c r="F58" s="39"/>
    </row>
    <row r="59" spans="1:6" ht="5.25" customHeight="1" x14ac:dyDescent="0.2">
      <c r="A59" s="42"/>
      <c r="B59" s="42"/>
      <c r="C59" s="42"/>
      <c r="D59" s="42"/>
      <c r="E59" s="42"/>
      <c r="F59" s="42"/>
    </row>
    <row r="60" spans="1:6" s="4" customFormat="1" ht="17.25" customHeight="1" x14ac:dyDescent="0.2">
      <c r="A60" s="43"/>
      <c r="B60" s="43" t="s">
        <v>116</v>
      </c>
      <c r="C60" s="43"/>
      <c r="D60" s="43"/>
      <c r="E60" s="43"/>
      <c r="F60" s="43"/>
    </row>
    <row r="61" spans="1:6" s="1" customFormat="1" ht="22.5" customHeight="1" x14ac:dyDescent="0.2">
      <c r="A61" s="33"/>
      <c r="B61" s="34" t="s">
        <v>117</v>
      </c>
      <c r="C61" s="34" t="s">
        <v>197</v>
      </c>
      <c r="D61" s="33"/>
      <c r="E61" s="33"/>
      <c r="F61" s="33"/>
    </row>
    <row r="62" spans="1:6" s="1" customFormat="1" ht="17.25" customHeight="1" x14ac:dyDescent="0.2">
      <c r="A62" s="35"/>
      <c r="B62" s="36" t="str">
        <f>CONCATENATE("Nettoaufwand der Gemeinde ",$C$5," für die Sozialhilfe je Einwohner/in im Jahr ",$C$7-2)</f>
        <v>Nettoaufwand der Gemeinde  für die Sozialhilfe je Einwohner/in im Jahr 2017</v>
      </c>
      <c r="C62" s="36" t="s">
        <v>198</v>
      </c>
      <c r="D62" s="36" t="s">
        <v>105</v>
      </c>
      <c r="E62" s="46" t="e">
        <f>VLOOKUP($C$5,Basis!$B$5:$BL$81,23,FALSE)/VLOOKUP($C$5,Basis!$B$5:$BL$81,14,FALSE)</f>
        <v>#N/A</v>
      </c>
      <c r="F62" s="35"/>
    </row>
    <row r="63" spans="1:6" s="1" customFormat="1" ht="17.25" customHeight="1" x14ac:dyDescent="0.2">
      <c r="A63" s="35"/>
      <c r="B63" s="36" t="str">
        <f>CONCATENATE("Nettoaufwand für die Sozialhilfe je Einwohner/in im kantonalen Durchschnitt im Jahr ",$C$7-2)</f>
        <v>Nettoaufwand für die Sozialhilfe je Einwohner/in im kantonalen Durchschnitt im Jahr 2017</v>
      </c>
      <c r="C63" s="36" t="s">
        <v>199</v>
      </c>
      <c r="D63" s="36" t="s">
        <v>105</v>
      </c>
      <c r="E63" s="46">
        <f>Basis!X82/Basis!O82</f>
        <v>192.20756561505578</v>
      </c>
      <c r="F63" s="35"/>
    </row>
    <row r="64" spans="1:6" s="1" customFormat="1" ht="17.25" customHeight="1" x14ac:dyDescent="0.2">
      <c r="A64" s="35"/>
      <c r="B64" s="36" t="str">
        <f>CONCATENATE("Einwohnerzahl der Gemeinde ",$C$5," Ende ",$C$7-2)</f>
        <v>Einwohnerzahl der Gemeinde  Ende 2017</v>
      </c>
      <c r="C64" s="36" t="s">
        <v>161</v>
      </c>
      <c r="D64" s="36" t="s">
        <v>108</v>
      </c>
      <c r="E64" s="38" t="e">
        <f>VLOOKUP($C$5,Basis!$B$5:$BL$81,14,FALSE)</f>
        <v>#N/A</v>
      </c>
      <c r="F64" s="35"/>
    </row>
    <row r="65" spans="1:6" s="1" customFormat="1" ht="17.25" customHeight="1" x14ac:dyDescent="0.2">
      <c r="A65" s="35"/>
      <c r="B65" s="36" t="s">
        <v>239</v>
      </c>
      <c r="C65" s="36" t="s">
        <v>200</v>
      </c>
      <c r="D65" s="36" t="s">
        <v>103</v>
      </c>
      <c r="E65" s="220" t="e">
        <f>VLOOKUP($C$5,Basis!$B$5:$BL$81,61,FALSE)</f>
        <v>#N/A</v>
      </c>
      <c r="F65" s="35"/>
    </row>
    <row r="66" spans="1:6" s="1" customFormat="1" ht="17.25" customHeight="1" x14ac:dyDescent="0.2">
      <c r="A66" s="35"/>
      <c r="B66" s="36" t="s">
        <v>240</v>
      </c>
      <c r="C66" s="36" t="s">
        <v>200</v>
      </c>
      <c r="D66" s="36" t="s">
        <v>103</v>
      </c>
      <c r="E66" s="220" t="e">
        <f>VLOOKUP($C$5,Basis!$B$5:$BL$81,62,FALSE)</f>
        <v>#N/A</v>
      </c>
      <c r="F66" s="35"/>
    </row>
    <row r="67" spans="1:6" s="1" customFormat="1" ht="22.5" customHeight="1" x14ac:dyDescent="0.2">
      <c r="A67" s="39"/>
      <c r="B67" s="39" t="str">
        <f>CONCATENATE("Definitiver Beitrag an die Kosten für die Sozialhilfe ",$C$7," an die Gemeinde ",$C$5)</f>
        <v xml:space="preserve">Definitiver Beitrag an die Kosten für die Sozialhilfe 2019 an die Gemeinde </v>
      </c>
      <c r="C67" s="40" t="s">
        <v>163</v>
      </c>
      <c r="D67" s="40" t="s">
        <v>105</v>
      </c>
      <c r="E67" s="41" t="e">
        <f>IF((E62-E63)*E64*E65&gt;0,(E62-E63)*E64*E65,(E62-E63)*E64*VLOOKUP($C$5,Basis!$B$5:$BL$81,62,FALSE))</f>
        <v>#N/A</v>
      </c>
      <c r="F67" s="39"/>
    </row>
    <row r="68" spans="1:6" ht="5.25" customHeight="1" x14ac:dyDescent="0.2">
      <c r="A68" s="44"/>
      <c r="B68" s="42"/>
      <c r="C68" s="42"/>
      <c r="D68" s="42"/>
      <c r="E68" s="42"/>
      <c r="F68" s="42"/>
    </row>
    <row r="69" spans="1:6" s="4" customFormat="1" ht="22.5" customHeight="1" x14ac:dyDescent="0.2">
      <c r="A69" s="43"/>
      <c r="B69" s="43" t="s">
        <v>118</v>
      </c>
      <c r="C69" s="43"/>
      <c r="D69" s="43"/>
      <c r="E69" s="43"/>
      <c r="F69" s="43"/>
    </row>
    <row r="70" spans="1:6" s="1" customFormat="1" ht="22.5" customHeight="1" x14ac:dyDescent="0.2">
      <c r="A70" s="33"/>
      <c r="B70" s="34" t="s">
        <v>119</v>
      </c>
      <c r="C70" s="34" t="s">
        <v>201</v>
      </c>
      <c r="D70" s="33"/>
      <c r="E70" s="33"/>
      <c r="F70" s="33"/>
    </row>
    <row r="71" spans="1:6" s="1" customFormat="1" ht="17.25" customHeight="1" x14ac:dyDescent="0.2">
      <c r="A71" s="35"/>
      <c r="B71" s="36" t="str">
        <f>CONCATENATE("Nettoaufwand der Gemeinde ",$C$5," für die stationäre Pflege je Einwohner/in im Jahr ",$C$7-2)</f>
        <v>Nettoaufwand der Gemeinde  für die stationäre Pflege je Einwohner/in im Jahr 2017</v>
      </c>
      <c r="C71" s="36" t="s">
        <v>202</v>
      </c>
      <c r="D71" s="36" t="s">
        <v>105</v>
      </c>
      <c r="E71" s="46" t="e">
        <f>VLOOKUP($C$5,Basis!$B$5:$BL$81,24,FALSE)/VLOOKUP($C$5,Basis!$B$5:$BL$81,14,FALSE)</f>
        <v>#N/A</v>
      </c>
      <c r="F71" s="35"/>
    </row>
    <row r="72" spans="1:6" s="1" customFormat="1" ht="17.25" customHeight="1" x14ac:dyDescent="0.2">
      <c r="A72" s="35"/>
      <c r="B72" s="36" t="str">
        <f>CONCATENATE("Nettoaufwand für die stationäre Pflege je Einwohner/in im kantonalen Durchschnitt im Jahr ",$C$7-2)</f>
        <v>Nettoaufwand für die stationäre Pflege je Einwohner/in im kantonalen Durchschnitt im Jahr 2017</v>
      </c>
      <c r="C72" s="36" t="s">
        <v>203</v>
      </c>
      <c r="D72" s="36" t="s">
        <v>105</v>
      </c>
      <c r="E72" s="46">
        <f>Basis!Y82/Basis!O82</f>
        <v>135.79008205101792</v>
      </c>
      <c r="F72" s="35"/>
    </row>
    <row r="73" spans="1:6" s="1" customFormat="1" ht="17.25" customHeight="1" x14ac:dyDescent="0.2">
      <c r="A73" s="189"/>
      <c r="B73" s="190" t="str">
        <f>CONCATENATE("Einwohnerzahl der Gemeinde ",$C$5," Ende ",$C$7-2)</f>
        <v>Einwohnerzahl der Gemeinde  Ende 2017</v>
      </c>
      <c r="C73" s="190" t="s">
        <v>161</v>
      </c>
      <c r="D73" s="190" t="s">
        <v>108</v>
      </c>
      <c r="E73" s="191" t="e">
        <f>VLOOKUP($C$5,Basis!$B$5:$BL$81,14,FALSE)</f>
        <v>#N/A</v>
      </c>
      <c r="F73" s="189"/>
    </row>
    <row r="74" spans="1:6" s="1" customFormat="1" ht="17.25" customHeight="1" x14ac:dyDescent="0.2">
      <c r="A74" s="189"/>
      <c r="B74" s="190" t="s">
        <v>241</v>
      </c>
      <c r="C74" s="190" t="s">
        <v>204</v>
      </c>
      <c r="D74" s="36" t="s">
        <v>103</v>
      </c>
      <c r="E74" s="220" t="e">
        <f>VLOOKUP($C$5,Basis!$B$5:$BL$81,61,FALSE)</f>
        <v>#N/A</v>
      </c>
      <c r="F74" s="189"/>
    </row>
    <row r="75" spans="1:6" s="1" customFormat="1" ht="17.25" customHeight="1" x14ac:dyDescent="0.2">
      <c r="A75" s="151"/>
      <c r="B75" s="152" t="s">
        <v>242</v>
      </c>
      <c r="C75" s="190" t="s">
        <v>204</v>
      </c>
      <c r="D75" s="152" t="s">
        <v>103</v>
      </c>
      <c r="E75" s="220" t="e">
        <f>VLOOKUP($C$5,Basis!$B$5:$BL$81,62,FALSE)</f>
        <v>#N/A</v>
      </c>
      <c r="F75" s="151"/>
    </row>
    <row r="76" spans="1:6" ht="22.5" customHeight="1" x14ac:dyDescent="0.2">
      <c r="A76" s="39"/>
      <c r="B76" s="39" t="str">
        <f>CONCATENATE("Definitiver Beitrag an die Kosten für die stationäre Pflege ",$C$7," an die Gemeinde ",$C$5)</f>
        <v xml:space="preserve">Definitiver Beitrag an die Kosten für die stationäre Pflege 2019 an die Gemeinde </v>
      </c>
      <c r="C76" s="40" t="s">
        <v>164</v>
      </c>
      <c r="D76" s="40" t="s">
        <v>105</v>
      </c>
      <c r="E76" s="41" t="e">
        <f>IF((E71-E72)*E73*E74&gt;0,(E71-E72)*E73*E74,(E71-E72)*E73*VLOOKUP($C$5,Basis!$B$5:$BL$81,62,FALSE))</f>
        <v>#N/A</v>
      </c>
      <c r="F76" s="39"/>
    </row>
    <row r="77" spans="1:6" ht="5.25" customHeight="1" x14ac:dyDescent="0.2">
      <c r="A77" s="23"/>
      <c r="B77" s="23"/>
      <c r="C77" s="23"/>
      <c r="D77" s="23"/>
      <c r="E77" s="23"/>
      <c r="F77" s="23"/>
    </row>
    <row r="78" spans="1:6" s="193" customFormat="1" ht="17.25" customHeight="1" x14ac:dyDescent="0.2">
      <c r="A78" s="192"/>
      <c r="B78" s="192" t="s">
        <v>205</v>
      </c>
      <c r="C78" s="192"/>
      <c r="D78" s="192"/>
      <c r="E78" s="192"/>
      <c r="F78" s="192"/>
    </row>
    <row r="79" spans="1:6" s="1" customFormat="1" ht="17.25" customHeight="1" x14ac:dyDescent="0.2">
      <c r="A79" s="194"/>
      <c r="B79" s="194" t="s">
        <v>206</v>
      </c>
      <c r="C79" s="194" t="s">
        <v>207</v>
      </c>
      <c r="D79" s="194"/>
      <c r="E79" s="194"/>
      <c r="F79" s="194"/>
    </row>
    <row r="80" spans="1:6" s="1" customFormat="1" ht="17.25" customHeight="1" x14ac:dyDescent="0.2">
      <c r="A80" s="29"/>
      <c r="B80" s="29" t="str">
        <f>CONCATENATE("Sonderlasten der Gemeinde ",C5," bei der Unterbringung von Kindern und Jugendlichen in Kinder- und Jugendheimen")</f>
        <v>Sonderlasten der Gemeinde  bei der Unterbringung von Kindern und Jugendlichen in Kinder- und Jugendheimen</v>
      </c>
      <c r="C80" s="29" t="s">
        <v>208</v>
      </c>
      <c r="D80" s="29" t="s">
        <v>105</v>
      </c>
      <c r="E80" s="221" t="e">
        <f>E58</f>
        <v>#N/A</v>
      </c>
      <c r="F80" s="29"/>
    </row>
    <row r="81" spans="1:6" s="1" customFormat="1" ht="17.25" customHeight="1" x14ac:dyDescent="0.2">
      <c r="A81" s="29"/>
      <c r="B81" s="29" t="str">
        <f>CONCATENATE("Sonder- und Minderlasten der Gemeinde ",C5," bei der finanziellen Sozialhilfe")</f>
        <v>Sonder- und Minderlasten der Gemeinde  bei der finanziellen Sozialhilfe</v>
      </c>
      <c r="C81" s="29" t="s">
        <v>209</v>
      </c>
      <c r="D81" s="29" t="s">
        <v>105</v>
      </c>
      <c r="E81" s="221" t="e">
        <f>E67</f>
        <v>#N/A</v>
      </c>
      <c r="F81" s="29"/>
    </row>
    <row r="82" spans="1:6" s="1" customFormat="1" ht="17.25" customHeight="1" x14ac:dyDescent="0.2">
      <c r="A82" s="29"/>
      <c r="B82" s="29" t="str">
        <f>CONCATENATE("Sonder- und Minderlasten der Gemeinde ",C5," bei der stationären Pflege")</f>
        <v>Sonder- und Minderlasten der Gemeinde  bei der stationären Pflege</v>
      </c>
      <c r="C82" s="29" t="s">
        <v>210</v>
      </c>
      <c r="D82" s="29" t="s">
        <v>105</v>
      </c>
      <c r="E82" s="221" t="e">
        <f>E76</f>
        <v>#N/A</v>
      </c>
      <c r="F82" s="29"/>
    </row>
    <row r="83" spans="1:6" s="4" customFormat="1" ht="22.5" customHeight="1" x14ac:dyDescent="0.2">
      <c r="A83" s="26"/>
      <c r="B83" s="27" t="str">
        <f>CONCATENATE("Definitiver Beitrag an die Gemeinde ",$C$5," aus dem soziodemographischen Sonderlastenausgleich ",$C$7)</f>
        <v>Definitiver Beitrag an die Gemeinde  aus dem soziodemographischen Sonderlastenausgleich 2019</v>
      </c>
      <c r="C83" s="26"/>
      <c r="D83" s="26" t="s">
        <v>105</v>
      </c>
      <c r="E83" s="53" t="e">
        <f>IF(ROUND(SUM(E76,E67,E58),-2)&gt;0,ROUND(SUM(E76,E67,E58),-2),0)</f>
        <v>#N/A</v>
      </c>
      <c r="F83" s="26"/>
    </row>
    <row r="84" spans="1:6" ht="5.25" customHeight="1" x14ac:dyDescent="0.2">
      <c r="A84" s="223"/>
      <c r="B84" s="223"/>
      <c r="C84" s="223"/>
      <c r="D84" s="223"/>
      <c r="E84" s="223"/>
      <c r="F84" s="223"/>
    </row>
    <row r="85" spans="1:6" s="4" customFormat="1" ht="22.5" customHeight="1" x14ac:dyDescent="0.2">
      <c r="A85" s="13"/>
      <c r="B85" s="13" t="s">
        <v>172</v>
      </c>
      <c r="C85" s="13"/>
      <c r="D85" s="13"/>
      <c r="E85" s="13"/>
      <c r="F85" s="13"/>
    </row>
    <row r="86" spans="1:6" s="4" customFormat="1" ht="22.5" customHeight="1" x14ac:dyDescent="0.2">
      <c r="A86" s="16"/>
      <c r="B86" s="16" t="str">
        <f>CONCATENATE("Politische Gemeinde ",$C$5," ",$C$7,"; definitive Daten")</f>
        <v>Politische Gemeinde  2019; definitive Daten</v>
      </c>
      <c r="C86" s="16"/>
      <c r="D86" s="16"/>
      <c r="E86" s="16"/>
      <c r="F86" s="16"/>
    </row>
    <row r="87" spans="1:6" s="4" customFormat="1" ht="22.5" customHeight="1" x14ac:dyDescent="0.2">
      <c r="A87" s="45"/>
      <c r="B87" s="45" t="s">
        <v>121</v>
      </c>
      <c r="C87" s="45"/>
      <c r="D87" s="45"/>
      <c r="E87" s="45"/>
      <c r="F87" s="45"/>
    </row>
    <row r="88" spans="1:6" s="1" customFormat="1" ht="22.5" customHeight="1" x14ac:dyDescent="0.2">
      <c r="A88" s="195"/>
      <c r="B88" s="196" t="s">
        <v>211</v>
      </c>
      <c r="C88" s="196" t="s">
        <v>212</v>
      </c>
      <c r="D88" s="195"/>
      <c r="E88" s="195"/>
      <c r="F88" s="195"/>
    </row>
    <row r="89" spans="1:6" s="1" customFormat="1" ht="22.5" customHeight="1" x14ac:dyDescent="0.2">
      <c r="A89" s="197"/>
      <c r="B89" s="198" t="s">
        <v>176</v>
      </c>
      <c r="C89" s="198" t="s">
        <v>213</v>
      </c>
      <c r="D89" s="197"/>
      <c r="E89" s="222"/>
      <c r="F89" s="197"/>
    </row>
    <row r="90" spans="1:6" s="1" customFormat="1" ht="17.25" customHeight="1" x14ac:dyDescent="0.2">
      <c r="A90" s="35"/>
      <c r="B90" s="36" t="str">
        <f>CONCATENATE("Schülerzahl je Einwohner/in der Gemeinde ",$C$5," in der Volksschule im Jahr ",$C$7-2)</f>
        <v>Schülerzahl je Einwohner/in der Gemeinde  in der Volksschule im Jahr 2017</v>
      </c>
      <c r="C90" s="36" t="s">
        <v>165</v>
      </c>
      <c r="D90" s="36" t="s">
        <v>120</v>
      </c>
      <c r="E90" s="37" t="e">
        <f>VLOOKUP($C$5,Basis!$B$5:$BL$81,19,FALSE)/VLOOKUP($C$5,Basis!$B$5:$BL$81,14,FALSE)</f>
        <v>#N/A</v>
      </c>
      <c r="F90" s="35"/>
    </row>
    <row r="91" spans="1:6" s="1" customFormat="1" ht="17.25" customHeight="1" x14ac:dyDescent="0.2">
      <c r="A91" s="35"/>
      <c r="B91" s="36" t="str">
        <f>CONCATENATE("Schülerzahl je Einwohner/in in der Volksschule im kantonalen Durchschnitt im Jahr ",$C$7-2)</f>
        <v>Schülerzahl je Einwohner/in in der Volksschule im kantonalen Durchschnitt im Jahr 2017</v>
      </c>
      <c r="C91" s="36" t="s">
        <v>166</v>
      </c>
      <c r="D91" s="36" t="s">
        <v>120</v>
      </c>
      <c r="E91" s="37">
        <f>Basis!$T$82/Basis!$O$82</f>
        <v>0.11023686014670508</v>
      </c>
      <c r="F91" s="35"/>
    </row>
    <row r="92" spans="1:6" s="1" customFormat="1" ht="17.25" customHeight="1" x14ac:dyDescent="0.2">
      <c r="A92" s="35"/>
      <c r="B92" s="36" t="str">
        <f>CONCATENATE("BLD-Sozialindex der Gemeinde ",C5)</f>
        <v xml:space="preserve">BLD-Sozialindex der Gemeinde </v>
      </c>
      <c r="C92" s="36" t="s">
        <v>214</v>
      </c>
      <c r="D92" s="36" t="s">
        <v>120</v>
      </c>
      <c r="E92" s="46" t="e">
        <f>VLOOKUP($C$5,Basis!$B$5:$BL$81,21,FALSE)</f>
        <v>#N/A</v>
      </c>
      <c r="F92" s="35"/>
    </row>
    <row r="93" spans="1:6" s="1" customFormat="1" ht="17.25" customHeight="1" x14ac:dyDescent="0.2">
      <c r="A93" s="35"/>
      <c r="B93" s="36" t="str">
        <f>CONCATENATE("Reduzierter BLD-Sozialindex der Gemeinde ",C5)</f>
        <v xml:space="preserve">Reduzierter BLD-Sozialindex der Gemeinde </v>
      </c>
      <c r="C93" s="36" t="s">
        <v>215</v>
      </c>
      <c r="D93" s="36" t="s">
        <v>120</v>
      </c>
      <c r="E93" s="37" t="e">
        <f>1+(E92-1)*0.15</f>
        <v>#N/A</v>
      </c>
      <c r="F93" s="35"/>
    </row>
    <row r="94" spans="1:6" s="1" customFormat="1" ht="17.25" customHeight="1" x14ac:dyDescent="0.2">
      <c r="A94" s="35"/>
      <c r="B94" s="36" t="str">
        <f>CONCATENATE("Einwohnerzahl der Gemeinde ",$C$5," Ende ",$C$7-2)</f>
        <v>Einwohnerzahl der Gemeinde  Ende 2017</v>
      </c>
      <c r="C94" s="36" t="s">
        <v>161</v>
      </c>
      <c r="D94" s="36" t="s">
        <v>108</v>
      </c>
      <c r="E94" s="38" t="e">
        <f>VLOOKUP($C$5,Basis!$B$5:$BL$81,14,FALSE)</f>
        <v>#N/A</v>
      </c>
      <c r="F94" s="35"/>
    </row>
    <row r="95" spans="1:6" s="1" customFormat="1" ht="17.25" customHeight="1" x14ac:dyDescent="0.2">
      <c r="A95" s="35"/>
      <c r="B95" s="36" t="s">
        <v>122</v>
      </c>
      <c r="C95" s="36" t="s">
        <v>123</v>
      </c>
      <c r="D95" s="36" t="s">
        <v>105</v>
      </c>
      <c r="E95" s="46" t="e">
        <f>VLOOKUP($C$5,Basis!$B$5:$BL$81,56,FALSE)</f>
        <v>#N/A</v>
      </c>
      <c r="F95" s="35"/>
    </row>
    <row r="96" spans="1:6" s="1" customFormat="1" ht="17.25" customHeight="1" x14ac:dyDescent="0.2">
      <c r="A96" s="35"/>
      <c r="B96" s="36" t="s">
        <v>243</v>
      </c>
      <c r="C96" s="36" t="s">
        <v>216</v>
      </c>
      <c r="D96" s="36" t="s">
        <v>103</v>
      </c>
      <c r="E96" s="220" t="e">
        <f>VLOOKUP($C$5,Basis!$B$5:$BL$81,58,FALSE)</f>
        <v>#N/A</v>
      </c>
      <c r="F96" s="35"/>
    </row>
    <row r="97" spans="1:6" s="1" customFormat="1" ht="17.25" customHeight="1" x14ac:dyDescent="0.2">
      <c r="A97" s="35"/>
      <c r="B97" s="36" t="s">
        <v>244</v>
      </c>
      <c r="C97" s="36" t="s">
        <v>216</v>
      </c>
      <c r="D97" s="36" t="s">
        <v>103</v>
      </c>
      <c r="E97" s="220" t="e">
        <f>VLOOKUP($C$5,Basis!$B$5:$BL$81,60,FALSE)</f>
        <v>#N/A</v>
      </c>
      <c r="F97" s="35"/>
    </row>
    <row r="98" spans="1:6" s="1" customFormat="1" ht="17.25" customHeight="1" x14ac:dyDescent="0.2">
      <c r="A98" s="35"/>
      <c r="B98" s="36" t="s">
        <v>112</v>
      </c>
      <c r="C98" s="36"/>
      <c r="D98" s="36" t="s">
        <v>103</v>
      </c>
      <c r="E98" s="49" t="e">
        <f>VLOOKUP($C$5,Basis!$B$5:$BL$81,48,FALSE)</f>
        <v>#N/A</v>
      </c>
      <c r="F98" s="35"/>
    </row>
    <row r="99" spans="1:6" s="1" customFormat="1" ht="22.5" customHeight="1" x14ac:dyDescent="0.2">
      <c r="A99" s="39"/>
      <c r="B99" s="39" t="str">
        <f>CONCATENATE("Sonder- oder Minderlasten der Gemeinde ",C5," bei der Volksschule vor allfälligen Kürzungen")</f>
        <v>Sonder- oder Minderlasten der Gemeinde  bei der Volksschule vor allfälligen Kürzungen</v>
      </c>
      <c r="C99" s="40" t="s">
        <v>167</v>
      </c>
      <c r="D99" s="39" t="e">
        <f>IF(E99&gt;0,"Fr.","")</f>
        <v>#N/A</v>
      </c>
      <c r="E99" s="41" t="e">
        <f>IF(E90&gt;E91,(E90*E93-E91)*E94*E95*E96,(E90*E93-E91)*E94*E95*E97)</f>
        <v>#N/A</v>
      </c>
      <c r="F99" s="39"/>
    </row>
    <row r="100" spans="1:6" ht="5.25" customHeight="1" x14ac:dyDescent="0.2"/>
    <row r="101" spans="1:6" s="4" customFormat="1" ht="22.5" customHeight="1" x14ac:dyDescent="0.2">
      <c r="A101" s="45"/>
      <c r="B101" s="45" t="s">
        <v>124</v>
      </c>
      <c r="C101" s="45"/>
      <c r="D101" s="45"/>
      <c r="E101" s="45"/>
      <c r="F101" s="45"/>
    </row>
    <row r="102" spans="1:6" s="1" customFormat="1" ht="22.5" customHeight="1" x14ac:dyDescent="0.2">
      <c r="A102" s="33"/>
      <c r="B102" s="34" t="s">
        <v>125</v>
      </c>
      <c r="C102" s="34" t="s">
        <v>217</v>
      </c>
      <c r="D102" s="33"/>
      <c r="E102" s="33"/>
      <c r="F102" s="33"/>
    </row>
    <row r="103" spans="1:6" s="1" customFormat="1" ht="17.25" customHeight="1" x14ac:dyDescent="0.2">
      <c r="A103" s="35"/>
      <c r="B103" s="36" t="str">
        <f>CONCATENATE("Schülerzahl je Einwohner/in der Gemeinde ",$C$5," in der Sonderschule im Jahr ",$C$7-2)</f>
        <v>Schülerzahl je Einwohner/in der Gemeinde  in der Sonderschule im Jahr 2017</v>
      </c>
      <c r="C103" s="36" t="s">
        <v>168</v>
      </c>
      <c r="D103" s="36" t="s">
        <v>120</v>
      </c>
      <c r="E103" s="37" t="e">
        <f>VLOOKUP($C$5,Basis!$B$5:$BL$81,20,FALSE)/VLOOKUP($C$5,Basis!$B$5:$BL$81,14,FALSE)</f>
        <v>#N/A</v>
      </c>
      <c r="F103" s="35"/>
    </row>
    <row r="104" spans="1:6" s="1" customFormat="1" ht="17.25" customHeight="1" x14ac:dyDescent="0.2">
      <c r="A104" s="35"/>
      <c r="B104" s="36" t="str">
        <f>CONCATENATE("Schülerzahl je Einwohner/in in der Sonderschule im kantonalen Durchschnitt im Jahr ",$C$7-2)</f>
        <v>Schülerzahl je Einwohner/in in der Sonderschule im kantonalen Durchschnitt im Jahr 2017</v>
      </c>
      <c r="C104" s="36" t="s">
        <v>169</v>
      </c>
      <c r="D104" s="36" t="s">
        <v>120</v>
      </c>
      <c r="E104" s="37">
        <f>Basis!$U$82/Basis!$O$82</f>
        <v>2.6095433596335146E-3</v>
      </c>
      <c r="F104" s="35"/>
    </row>
    <row r="105" spans="1:6" s="1" customFormat="1" ht="17.25" customHeight="1" x14ac:dyDescent="0.2">
      <c r="A105" s="35"/>
      <c r="B105" s="36" t="str">
        <f>CONCATENATE("Einwohnerzahl der Gemeinde ",$C$5," Ende ",$C$7-2)</f>
        <v>Einwohnerzahl der Gemeinde  Ende 2017</v>
      </c>
      <c r="C105" s="36" t="s">
        <v>161</v>
      </c>
      <c r="D105" s="36" t="s">
        <v>108</v>
      </c>
      <c r="E105" s="38" t="e">
        <f>VLOOKUP($C$5,Basis!$B$5:$BL$81,14,FALSE)</f>
        <v>#N/A</v>
      </c>
      <c r="F105" s="35"/>
    </row>
    <row r="106" spans="1:6" s="1" customFormat="1" ht="17.25" customHeight="1" x14ac:dyDescent="0.2">
      <c r="A106" s="35"/>
      <c r="B106" s="36" t="s">
        <v>126</v>
      </c>
      <c r="C106" s="36" t="s">
        <v>127</v>
      </c>
      <c r="D106" s="36" t="s">
        <v>105</v>
      </c>
      <c r="E106" s="46" t="e">
        <f>VLOOKUP($C$5,Basis!$B$5:$BL$81,57,FALSE)</f>
        <v>#N/A</v>
      </c>
      <c r="F106" s="35"/>
    </row>
    <row r="107" spans="1:6" s="1" customFormat="1" ht="17.25" customHeight="1" x14ac:dyDescent="0.2">
      <c r="A107" s="35"/>
      <c r="B107" s="36" t="s">
        <v>218</v>
      </c>
      <c r="C107" s="36" t="s">
        <v>219</v>
      </c>
      <c r="D107" s="36" t="s">
        <v>103</v>
      </c>
      <c r="E107" s="220" t="e">
        <f>VLOOKUP($C$5,Basis!$B$5:$BL$81,59,FALSE)</f>
        <v>#N/A</v>
      </c>
      <c r="F107" s="35"/>
    </row>
    <row r="108" spans="1:6" s="1" customFormat="1" ht="17.25" customHeight="1" x14ac:dyDescent="0.2">
      <c r="A108" s="35"/>
      <c r="B108" s="36" t="s">
        <v>112</v>
      </c>
      <c r="C108" s="36"/>
      <c r="D108" s="36" t="s">
        <v>103</v>
      </c>
      <c r="E108" s="49" t="e">
        <f>VLOOKUP($C$5,Basis!$B$5:$BL$81,48,FALSE)</f>
        <v>#N/A</v>
      </c>
      <c r="F108" s="35"/>
    </row>
    <row r="109" spans="1:6" s="1" customFormat="1" ht="22.5" customHeight="1" x14ac:dyDescent="0.2">
      <c r="A109" s="39"/>
      <c r="B109" s="39" t="str">
        <f>CONCATENATE("Sonderlast Sonderschule ",$C$7," an die Gemeinde ",$C$5," vor allfälligen Kürzungen")</f>
        <v>Sonderlast Sonderschule 2019 an die Gemeinde  vor allfälligen Kürzungen</v>
      </c>
      <c r="C109" s="40" t="s">
        <v>170</v>
      </c>
      <c r="D109" s="39" t="s">
        <v>105</v>
      </c>
      <c r="E109" s="41" t="e">
        <f>IF(E103&gt;E104,(E103-E104)*E105*E106*E107,0)</f>
        <v>#N/A</v>
      </c>
      <c r="F109" s="39"/>
    </row>
    <row r="110" spans="1:6" ht="5.25" customHeight="1" x14ac:dyDescent="0.2">
      <c r="A110" s="13"/>
      <c r="B110" s="13"/>
      <c r="C110" s="13"/>
      <c r="D110" s="13"/>
      <c r="E110" s="13"/>
      <c r="F110" s="13"/>
    </row>
    <row r="111" spans="1:6" ht="22.5" customHeight="1" x14ac:dyDescent="0.2">
      <c r="A111" s="16"/>
      <c r="B111" s="47" t="str">
        <f>CONCATENATE("Definitiver Beitrag an die Gemeinde ",$C$5," aus dem Sonderlastenausgleich Schule ",$C$7)</f>
        <v>Definitiver Beitrag an die Gemeinde  aus dem Sonderlastenausgleich Schule 2019</v>
      </c>
      <c r="C111" s="16"/>
      <c r="D111" s="16" t="e">
        <f>IF(E111&gt;0,"Fr.","")</f>
        <v>#N/A</v>
      </c>
      <c r="E111" s="48" t="e">
        <f>IF(ROUND(SUM(E109,E99),-2)&gt;0,ROUND(SUM(E99,E109)+SUM(E99,E109)*E108,-2),0)</f>
        <v>#N/A</v>
      </c>
      <c r="F111" s="16"/>
    </row>
    <row r="112" spans="1:6" ht="5.25" customHeight="1" x14ac:dyDescent="0.2">
      <c r="A112" s="223"/>
      <c r="B112" s="223"/>
      <c r="C112" s="223"/>
      <c r="D112" s="223"/>
      <c r="E112" s="223"/>
      <c r="F112" s="223"/>
    </row>
    <row r="113" spans="1:6" s="4" customFormat="1" ht="22.5" customHeight="1" x14ac:dyDescent="0.2">
      <c r="A113" s="26"/>
      <c r="B113" s="26" t="s">
        <v>128</v>
      </c>
      <c r="C113" s="26"/>
      <c r="D113" s="26"/>
      <c r="E113" s="26"/>
      <c r="F113" s="26"/>
    </row>
    <row r="114" spans="1:6" s="1" customFormat="1" ht="17.25" customHeight="1" x14ac:dyDescent="0.2">
      <c r="A114" s="29"/>
      <c r="B114" s="29" t="str">
        <f>CONCATENATE("Veränderung Landesindex der Konsumentenpreise Juni ",$C$7, " zu Juni 2007")</f>
        <v>Veränderung Landesindex der Konsumentenpreise Juni 2019 zu Juni 2007</v>
      </c>
      <c r="C114" s="29"/>
      <c r="D114" s="30" t="s">
        <v>103</v>
      </c>
      <c r="E114" s="51" t="str">
        <f>IF(C5="St.Gallen",Basis!$BL$5/101.7%-1,"")</f>
        <v/>
      </c>
      <c r="F114" s="29"/>
    </row>
    <row r="115" spans="1:6" s="1" customFormat="1" ht="17.25" customHeight="1" x14ac:dyDescent="0.2">
      <c r="A115" s="29"/>
      <c r="B115" s="30" t="s">
        <v>129</v>
      </c>
      <c r="C115" s="30" t="s">
        <v>245</v>
      </c>
      <c r="D115" s="29" t="s">
        <v>105</v>
      </c>
      <c r="E115" s="52" t="str">
        <f>IF(C5="St.Gallen",ROUND(7000000+7000000*E114,-2),"")</f>
        <v/>
      </c>
      <c r="F115" s="29"/>
    </row>
    <row r="116" spans="1:6" s="1" customFormat="1" ht="17.25" customHeight="1" x14ac:dyDescent="0.2">
      <c r="A116" s="29"/>
      <c r="B116" s="30" t="s">
        <v>130</v>
      </c>
      <c r="C116" s="30" t="s">
        <v>131</v>
      </c>
      <c r="D116" s="29" t="s">
        <v>105</v>
      </c>
      <c r="E116" s="52" t="str">
        <f>IF(C5="St.Gallen",ROUND(9000000+9000000*E114,-2),"")</f>
        <v/>
      </c>
      <c r="F116" s="29"/>
    </row>
    <row r="117" spans="1:6" s="4" customFormat="1" ht="22.5" customHeight="1" x14ac:dyDescent="0.2">
      <c r="A117" s="26"/>
      <c r="B117" s="27" t="str">
        <f>CONCATENATE("Definitiver Beitrag an die Gemeinde ",$C$5," aus dem Sonderlastenausgleich Stadt ",$C$7)</f>
        <v>Definitiver Beitrag an die Gemeinde  aus dem Sonderlastenausgleich Stadt 2019</v>
      </c>
      <c r="C117" s="26"/>
      <c r="D117" s="26" t="s">
        <v>105</v>
      </c>
      <c r="E117" s="53">
        <f>SUM(E115:E116)</f>
        <v>0</v>
      </c>
      <c r="F117" s="26"/>
    </row>
    <row r="118" spans="1:6" ht="22.5" customHeight="1" thickBot="1" x14ac:dyDescent="0.25">
      <c r="B118" s="54"/>
    </row>
    <row r="119" spans="1:6" s="2" customFormat="1" ht="22.5" customHeight="1" thickBot="1" x14ac:dyDescent="0.25">
      <c r="A119" s="55"/>
      <c r="B119" s="55" t="s">
        <v>173</v>
      </c>
      <c r="C119" s="55"/>
      <c r="D119" s="55"/>
      <c r="E119" s="55"/>
      <c r="F119" s="55"/>
    </row>
    <row r="120" spans="1:6" ht="5.25" customHeight="1" x14ac:dyDescent="0.2"/>
    <row r="121" spans="1:6" s="1" customFormat="1" ht="22.5" customHeight="1" x14ac:dyDescent="0.2">
      <c r="A121" s="56"/>
      <c r="B121" s="56" t="s">
        <v>132</v>
      </c>
      <c r="C121" s="57" t="s">
        <v>220</v>
      </c>
      <c r="D121" s="56"/>
      <c r="E121" s="56"/>
      <c r="F121" s="56"/>
    </row>
    <row r="122" spans="1:6" s="1" customFormat="1" ht="17.25" customHeight="1" x14ac:dyDescent="0.2">
      <c r="A122" s="58"/>
      <c r="B122" s="58" t="str">
        <f>CONCATENATE("Steuerfuss ",$C$7," der Gemeinde ",$C$5," vor Steuerfussausgleich")</f>
        <v>Steuerfuss 2019 der Gemeinde  vor Steuerfussausgleich</v>
      </c>
      <c r="C122" s="59" t="s">
        <v>156</v>
      </c>
      <c r="D122" s="59" t="s">
        <v>103</v>
      </c>
      <c r="E122" s="60" t="e">
        <f>VLOOKUP($C$5,Basis!B5:BC81,12,FALSE)</f>
        <v>#N/A</v>
      </c>
      <c r="F122" s="58"/>
    </row>
    <row r="123" spans="1:6" s="1" customFormat="1" ht="17.25" customHeight="1" x14ac:dyDescent="0.2">
      <c r="A123" s="58"/>
      <c r="B123" s="59" t="s">
        <v>133</v>
      </c>
      <c r="C123" s="59" t="s">
        <v>157</v>
      </c>
      <c r="D123" s="59" t="s">
        <v>103</v>
      </c>
      <c r="E123" s="61">
        <v>1.45</v>
      </c>
      <c r="F123" s="58"/>
    </row>
    <row r="124" spans="1:6" s="1" customFormat="1" ht="17.25" customHeight="1" x14ac:dyDescent="0.2">
      <c r="A124" s="58"/>
      <c r="B124" s="59" t="str">
        <f>CONCATENATE("Einwohnerzahl der Gemeinde ",$C$5," Ende ",$C$7-2)</f>
        <v>Einwohnerzahl der Gemeinde  Ende 2017</v>
      </c>
      <c r="C124" s="59" t="s">
        <v>158</v>
      </c>
      <c r="D124" s="59" t="s">
        <v>108</v>
      </c>
      <c r="E124" s="62" t="e">
        <f>VLOOKUP($C$5,Basis!$B$5:$BL$81,14,FALSE)</f>
        <v>#N/A</v>
      </c>
      <c r="F124" s="58"/>
    </row>
    <row r="125" spans="1:6" s="1" customFormat="1" ht="17.25" customHeight="1" x14ac:dyDescent="0.2">
      <c r="A125" s="58"/>
      <c r="B125" s="58" t="str">
        <f>CONCATENATE("Steuerkraft der Gemeinde ",$C$5)</f>
        <v xml:space="preserve">Steuerkraft der Gemeinde </v>
      </c>
      <c r="C125" s="59" t="s">
        <v>159</v>
      </c>
      <c r="D125" s="59" t="s">
        <v>105</v>
      </c>
      <c r="E125" s="63" t="e">
        <f>VLOOKUP($C$5,Basis!$B$5:$BL$81,47,FALSE)</f>
        <v>#N/A</v>
      </c>
      <c r="F125" s="58"/>
    </row>
    <row r="126" spans="1:6" s="4" customFormat="1" ht="22.5" customHeight="1" x14ac:dyDescent="0.2">
      <c r="A126" s="64"/>
      <c r="B126" s="64" t="str">
        <f>CONCATENATE("Definitiver Beitrag an die Gemeinde ",$C$5," aus dem partiellen Steuerfussausgleich ",$C$7)</f>
        <v>Definitiver Beitrag an die Gemeinde  aus dem partiellen Steuerfussausgleich 2019</v>
      </c>
      <c r="C126" s="64" t="s">
        <v>160</v>
      </c>
      <c r="D126" s="64" t="e">
        <f>IF(E126&gt;0,"Fr.","")</f>
        <v>#N/A</v>
      </c>
      <c r="E126" s="65" t="e">
        <f>IF(VLOOKUP($C$5,Basis!B5:BC81,8,FALSE)&gt;0,VLOOKUP($C$5,Basis!B5:BC81,8,FALSE),0)</f>
        <v>#N/A</v>
      </c>
      <c r="F126" s="64"/>
    </row>
    <row r="127" spans="1:6" ht="22.5" customHeight="1" thickBot="1" x14ac:dyDescent="0.25"/>
    <row r="128" spans="1:6" s="2" customFormat="1" ht="22.5" customHeight="1" thickBot="1" x14ac:dyDescent="0.25">
      <c r="A128" s="66"/>
      <c r="B128" s="66" t="s">
        <v>134</v>
      </c>
      <c r="C128" s="66"/>
      <c r="D128" s="66"/>
      <c r="E128" s="66"/>
      <c r="F128" s="66"/>
    </row>
    <row r="129" spans="1:6" ht="5.25" customHeight="1" x14ac:dyDescent="0.2"/>
    <row r="130" spans="1:6" s="4" customFormat="1" ht="22.5" customHeight="1" x14ac:dyDescent="0.2">
      <c r="A130" s="67"/>
      <c r="B130" s="67" t="str">
        <f>CONCATENATE("Definitiver Beitrag an die Gemeinde ",$C$5," aus dem Übergangsausgleich ",$C$7)</f>
        <v>Definitiver Beitrag an die Gemeinde  aus dem Übergangsausgleich 2019</v>
      </c>
      <c r="C130" s="67"/>
      <c r="D130" s="67" t="s">
        <v>105</v>
      </c>
      <c r="E130" s="68" t="e">
        <f>VLOOKUP($C$5,Basis!$B$5:$BL$81,10,FALSE)</f>
        <v>#N/A</v>
      </c>
      <c r="F130" s="67"/>
    </row>
    <row r="131" spans="1:6" hidden="1" x14ac:dyDescent="0.2"/>
    <row r="132" spans="1:6" hidden="1" x14ac:dyDescent="0.2"/>
    <row r="133" spans="1:6" hidden="1" x14ac:dyDescent="0.2"/>
    <row r="134" spans="1:6" hidden="1" x14ac:dyDescent="0.2"/>
    <row r="135" spans="1:6" hidden="1" x14ac:dyDescent="0.2"/>
    <row r="136" spans="1:6" hidden="1" x14ac:dyDescent="0.2"/>
    <row r="137" spans="1:6" hidden="1" x14ac:dyDescent="0.2"/>
    <row r="138" spans="1:6" hidden="1" x14ac:dyDescent="0.2"/>
    <row r="139" spans="1:6" hidden="1" x14ac:dyDescent="0.2"/>
    <row r="140" spans="1:6" hidden="1" x14ac:dyDescent="0.2"/>
    <row r="141" spans="1:6" hidden="1" x14ac:dyDescent="0.2"/>
    <row r="142" spans="1:6" hidden="1" x14ac:dyDescent="0.2"/>
    <row r="143" spans="1:6" hidden="1" x14ac:dyDescent="0.2"/>
    <row r="144" spans="1:6" hidden="1" x14ac:dyDescent="0.2"/>
    <row r="145" spans="2:2" hidden="1" x14ac:dyDescent="0.2"/>
    <row r="146" spans="2:2" hidden="1" x14ac:dyDescent="0.2"/>
    <row r="147" spans="2:2" hidden="1" x14ac:dyDescent="0.2"/>
    <row r="148" spans="2:2" hidden="1" x14ac:dyDescent="0.2"/>
    <row r="149" spans="2:2" hidden="1" x14ac:dyDescent="0.2"/>
    <row r="150" spans="2:2" hidden="1" x14ac:dyDescent="0.2"/>
    <row r="151" spans="2:2" hidden="1" x14ac:dyDescent="0.2"/>
    <row r="152" spans="2:2" hidden="1" x14ac:dyDescent="0.2"/>
    <row r="153" spans="2:2" hidden="1" x14ac:dyDescent="0.2"/>
    <row r="154" spans="2:2" hidden="1" x14ac:dyDescent="0.2">
      <c r="B154" s="6" t="s">
        <v>39</v>
      </c>
    </row>
    <row r="155" spans="2:2" hidden="1" x14ac:dyDescent="0.2">
      <c r="B155" s="6" t="s">
        <v>57</v>
      </c>
    </row>
    <row r="156" spans="2:2" hidden="1" x14ac:dyDescent="0.2">
      <c r="B156" s="6" t="s">
        <v>90</v>
      </c>
    </row>
    <row r="157" spans="2:2" hidden="1" x14ac:dyDescent="0.2">
      <c r="B157" s="6" t="s">
        <v>32</v>
      </c>
    </row>
    <row r="158" spans="2:2" hidden="1" x14ac:dyDescent="0.2">
      <c r="B158" s="6" t="s">
        <v>51</v>
      </c>
    </row>
    <row r="159" spans="2:2" hidden="1" x14ac:dyDescent="0.2">
      <c r="B159" s="6" t="s">
        <v>34</v>
      </c>
    </row>
    <row r="160" spans="2:2" hidden="1" x14ac:dyDescent="0.2">
      <c r="B160" s="6" t="s">
        <v>60</v>
      </c>
    </row>
    <row r="161" spans="2:2" hidden="1" x14ac:dyDescent="0.2">
      <c r="B161" s="6" t="s">
        <v>23</v>
      </c>
    </row>
    <row r="162" spans="2:2" hidden="1" x14ac:dyDescent="0.2">
      <c r="B162" s="6" t="s">
        <v>33</v>
      </c>
    </row>
    <row r="163" spans="2:2" hidden="1" x14ac:dyDescent="0.2">
      <c r="B163" s="6" t="s">
        <v>46</v>
      </c>
    </row>
    <row r="164" spans="2:2" hidden="1" x14ac:dyDescent="0.2">
      <c r="B164" s="6" t="s">
        <v>75</v>
      </c>
    </row>
    <row r="165" spans="2:2" hidden="1" x14ac:dyDescent="0.2">
      <c r="B165" s="6" t="s">
        <v>83</v>
      </c>
    </row>
    <row r="166" spans="2:2" hidden="1" x14ac:dyDescent="0.2">
      <c r="B166" s="6" t="s">
        <v>35</v>
      </c>
    </row>
    <row r="167" spans="2:2" hidden="1" x14ac:dyDescent="0.2">
      <c r="B167" s="6" t="s">
        <v>69</v>
      </c>
    </row>
    <row r="168" spans="2:2" hidden="1" x14ac:dyDescent="0.2">
      <c r="B168" s="6" t="s">
        <v>26</v>
      </c>
    </row>
    <row r="169" spans="2:2" hidden="1" x14ac:dyDescent="0.2">
      <c r="B169" s="6" t="s">
        <v>40</v>
      </c>
    </row>
    <row r="170" spans="2:2" hidden="1" x14ac:dyDescent="0.2">
      <c r="B170" s="6" t="s">
        <v>66</v>
      </c>
    </row>
    <row r="171" spans="2:2" hidden="1" x14ac:dyDescent="0.2">
      <c r="B171" s="6" t="s">
        <v>82</v>
      </c>
    </row>
    <row r="172" spans="2:2" hidden="1" x14ac:dyDescent="0.2">
      <c r="B172" s="6" t="s">
        <v>54</v>
      </c>
    </row>
    <row r="173" spans="2:2" hidden="1" x14ac:dyDescent="0.2">
      <c r="B173" s="6" t="s">
        <v>92</v>
      </c>
    </row>
    <row r="174" spans="2:2" hidden="1" x14ac:dyDescent="0.2">
      <c r="B174" s="6" t="s">
        <v>44</v>
      </c>
    </row>
    <row r="175" spans="2:2" hidden="1" x14ac:dyDescent="0.2">
      <c r="B175" s="6" t="s">
        <v>21</v>
      </c>
    </row>
    <row r="176" spans="2:2" hidden="1" x14ac:dyDescent="0.2">
      <c r="B176" s="6" t="s">
        <v>62</v>
      </c>
    </row>
    <row r="177" spans="2:2" hidden="1" x14ac:dyDescent="0.2">
      <c r="B177" s="6" t="s">
        <v>89</v>
      </c>
    </row>
    <row r="178" spans="2:2" hidden="1" x14ac:dyDescent="0.2">
      <c r="B178" s="6" t="s">
        <v>45</v>
      </c>
    </row>
    <row r="179" spans="2:2" hidden="1" x14ac:dyDescent="0.2">
      <c r="B179" s="6" t="s">
        <v>18</v>
      </c>
    </row>
    <row r="180" spans="2:2" hidden="1" x14ac:dyDescent="0.2">
      <c r="B180" s="6" t="s">
        <v>74</v>
      </c>
    </row>
    <row r="181" spans="2:2" hidden="1" x14ac:dyDescent="0.2">
      <c r="B181" s="6" t="s">
        <v>79</v>
      </c>
    </row>
    <row r="182" spans="2:2" hidden="1" x14ac:dyDescent="0.2">
      <c r="B182" s="6" t="s">
        <v>61</v>
      </c>
    </row>
    <row r="183" spans="2:2" hidden="1" x14ac:dyDescent="0.2">
      <c r="B183" s="6" t="s">
        <v>78</v>
      </c>
    </row>
    <row r="184" spans="2:2" hidden="1" x14ac:dyDescent="0.2">
      <c r="B184" s="6" t="s">
        <v>71</v>
      </c>
    </row>
    <row r="185" spans="2:2" hidden="1" x14ac:dyDescent="0.2">
      <c r="B185" s="6" t="s">
        <v>76</v>
      </c>
    </row>
    <row r="186" spans="2:2" hidden="1" x14ac:dyDescent="0.2">
      <c r="B186" s="6" t="s">
        <v>38</v>
      </c>
    </row>
    <row r="187" spans="2:2" hidden="1" x14ac:dyDescent="0.2">
      <c r="B187" s="6" t="s">
        <v>53</v>
      </c>
    </row>
    <row r="188" spans="2:2" hidden="1" x14ac:dyDescent="0.2">
      <c r="B188" s="6" t="s">
        <v>20</v>
      </c>
    </row>
    <row r="189" spans="2:2" hidden="1" x14ac:dyDescent="0.2">
      <c r="B189" s="6" t="s">
        <v>77</v>
      </c>
    </row>
    <row r="190" spans="2:2" hidden="1" x14ac:dyDescent="0.2">
      <c r="B190" s="6" t="s">
        <v>19</v>
      </c>
    </row>
    <row r="191" spans="2:2" hidden="1" x14ac:dyDescent="0.2">
      <c r="B191" s="6" t="s">
        <v>73</v>
      </c>
    </row>
    <row r="192" spans="2:2" hidden="1" x14ac:dyDescent="0.2">
      <c r="B192" s="6" t="s">
        <v>68</v>
      </c>
    </row>
    <row r="193" spans="2:2" hidden="1" x14ac:dyDescent="0.2">
      <c r="B193" s="6" t="s">
        <v>87</v>
      </c>
    </row>
    <row r="194" spans="2:2" hidden="1" x14ac:dyDescent="0.2">
      <c r="B194" s="6" t="s">
        <v>88</v>
      </c>
    </row>
    <row r="195" spans="2:2" hidden="1" x14ac:dyDescent="0.2">
      <c r="B195" s="6" t="s">
        <v>86</v>
      </c>
    </row>
    <row r="196" spans="2:2" hidden="1" x14ac:dyDescent="0.2">
      <c r="B196" s="6" t="s">
        <v>72</v>
      </c>
    </row>
    <row r="197" spans="2:2" hidden="1" x14ac:dyDescent="0.2">
      <c r="B197" s="6" t="s">
        <v>41</v>
      </c>
    </row>
    <row r="198" spans="2:2" hidden="1" x14ac:dyDescent="0.2">
      <c r="B198" s="6" t="s">
        <v>80</v>
      </c>
    </row>
    <row r="199" spans="2:2" hidden="1" x14ac:dyDescent="0.2">
      <c r="B199" s="6" t="s">
        <v>52</v>
      </c>
    </row>
    <row r="200" spans="2:2" hidden="1" x14ac:dyDescent="0.2">
      <c r="B200" s="6" t="s">
        <v>56</v>
      </c>
    </row>
    <row r="201" spans="2:2" hidden="1" x14ac:dyDescent="0.2">
      <c r="B201" s="6" t="s">
        <v>65</v>
      </c>
    </row>
    <row r="202" spans="2:2" hidden="1" x14ac:dyDescent="0.2">
      <c r="B202" s="6" t="s">
        <v>37</v>
      </c>
    </row>
    <row r="203" spans="2:2" hidden="1" x14ac:dyDescent="0.2">
      <c r="B203" s="6" t="s">
        <v>30</v>
      </c>
    </row>
    <row r="204" spans="2:2" hidden="1" x14ac:dyDescent="0.2">
      <c r="B204" s="6" t="s">
        <v>28</v>
      </c>
    </row>
    <row r="205" spans="2:2" hidden="1" x14ac:dyDescent="0.2">
      <c r="B205" s="6" t="s">
        <v>27</v>
      </c>
    </row>
    <row r="206" spans="2:2" hidden="1" x14ac:dyDescent="0.2">
      <c r="B206" s="6" t="s">
        <v>42</v>
      </c>
    </row>
    <row r="207" spans="2:2" hidden="1" x14ac:dyDescent="0.2">
      <c r="B207" s="6" t="s">
        <v>49</v>
      </c>
    </row>
    <row r="208" spans="2:2" hidden="1" x14ac:dyDescent="0.2">
      <c r="B208" s="6" t="s">
        <v>59</v>
      </c>
    </row>
    <row r="209" spans="2:2" hidden="1" x14ac:dyDescent="0.2">
      <c r="B209" s="6" t="s">
        <v>64</v>
      </c>
    </row>
    <row r="210" spans="2:2" hidden="1" x14ac:dyDescent="0.2">
      <c r="B210" s="6" t="s">
        <v>43</v>
      </c>
    </row>
    <row r="211" spans="2:2" hidden="1" x14ac:dyDescent="0.2">
      <c r="B211" s="6" t="s">
        <v>47</v>
      </c>
    </row>
    <row r="212" spans="2:2" hidden="1" x14ac:dyDescent="0.2">
      <c r="B212" s="6" t="s">
        <v>16</v>
      </c>
    </row>
    <row r="213" spans="2:2" hidden="1" x14ac:dyDescent="0.2">
      <c r="B213" s="6" t="s">
        <v>31</v>
      </c>
    </row>
    <row r="214" spans="2:2" hidden="1" x14ac:dyDescent="0.2">
      <c r="B214" s="6" t="s">
        <v>22</v>
      </c>
    </row>
    <row r="215" spans="2:2" hidden="1" x14ac:dyDescent="0.2">
      <c r="B215" s="6" t="s">
        <v>29</v>
      </c>
    </row>
    <row r="216" spans="2:2" hidden="1" x14ac:dyDescent="0.2">
      <c r="B216" s="6" t="s">
        <v>24</v>
      </c>
    </row>
    <row r="217" spans="2:2" hidden="1" x14ac:dyDescent="0.2">
      <c r="B217" s="6" t="s">
        <v>25</v>
      </c>
    </row>
    <row r="218" spans="2:2" hidden="1" x14ac:dyDescent="0.2">
      <c r="B218" s="6" t="s">
        <v>63</v>
      </c>
    </row>
    <row r="219" spans="2:2" hidden="1" x14ac:dyDescent="0.2">
      <c r="B219" s="6" t="s">
        <v>81</v>
      </c>
    </row>
    <row r="220" spans="2:2" hidden="1" x14ac:dyDescent="0.2">
      <c r="B220" s="6" t="s">
        <v>50</v>
      </c>
    </row>
    <row r="221" spans="2:2" hidden="1" x14ac:dyDescent="0.2">
      <c r="B221" s="6" t="s">
        <v>91</v>
      </c>
    </row>
    <row r="222" spans="2:2" hidden="1" x14ac:dyDescent="0.2">
      <c r="B222" s="6" t="s">
        <v>55</v>
      </c>
    </row>
    <row r="223" spans="2:2" hidden="1" x14ac:dyDescent="0.2">
      <c r="B223" s="6" t="s">
        <v>48</v>
      </c>
    </row>
    <row r="224" spans="2:2" hidden="1" x14ac:dyDescent="0.2">
      <c r="B224" s="6" t="s">
        <v>70</v>
      </c>
    </row>
    <row r="225" spans="2:2" hidden="1" x14ac:dyDescent="0.2">
      <c r="B225" s="6" t="s">
        <v>58</v>
      </c>
    </row>
    <row r="226" spans="2:2" hidden="1" x14ac:dyDescent="0.2">
      <c r="B226" s="6" t="s">
        <v>36</v>
      </c>
    </row>
    <row r="227" spans="2:2" hidden="1" x14ac:dyDescent="0.2">
      <c r="B227" s="6" t="s">
        <v>84</v>
      </c>
    </row>
    <row r="228" spans="2:2" hidden="1" x14ac:dyDescent="0.2">
      <c r="B228" s="6" t="s">
        <v>67</v>
      </c>
    </row>
    <row r="229" spans="2:2" hidden="1" x14ac:dyDescent="0.2">
      <c r="B229" s="6" t="s">
        <v>17</v>
      </c>
    </row>
    <row r="230" spans="2:2" hidden="1" x14ac:dyDescent="0.2">
      <c r="B230" s="6" t="s">
        <v>85</v>
      </c>
    </row>
  </sheetData>
  <sheetProtection algorithmName="SHA-512" hashValue="UDKRAxlLkYeALs6l8aVWDJMYQ4nO7jw/XZi82hXoILc/hqp1iYT9JuhXxtDf8YV/KRqEkdNlqkL7bZV377WU5w==" saltValue="BHu9D9yopfWsM7edBqJVbg==" spinCount="100000" sheet="1" objects="1" scenarios="1" selectLockedCells="1"/>
  <sortState ref="B151:B227">
    <sortCondition ref="B151:B227"/>
  </sortState>
  <dataValidations count="1">
    <dataValidation type="list" allowBlank="1" showInputMessage="1" showErrorMessage="1" sqref="C5">
      <formula1>$B$154:$B$230</formula1>
    </dataValidation>
  </dataValidations>
  <pageMargins left="0.23622047244094491" right="0.19685039370078741" top="0.19685039370078741" bottom="0.3" header="0.19685039370078741" footer="0.15748031496062992"/>
  <pageSetup paperSize="9" scale="70" fitToHeight="0" orientation="landscape" r:id="rId1"/>
  <headerFooter>
    <oddFooter>&amp;C&amp;8Seite - &amp;P -</oddFooter>
  </headerFooter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ColWidth="0" defaultRowHeight="11.25" zeroHeight="1" x14ac:dyDescent="0.2"/>
  <cols>
    <col min="1" max="1" width="3.42578125" style="134" bestFit="1" customWidth="1"/>
    <col min="2" max="2" width="17.85546875" style="184" bestFit="1" customWidth="1"/>
    <col min="3" max="3" width="11.140625" style="134" customWidth="1"/>
    <col min="4" max="5" width="9.5703125" style="134" customWidth="1"/>
    <col min="6" max="6" width="9.5703125" style="134" bestFit="1" customWidth="1"/>
    <col min="7" max="8" width="8.7109375" style="134" bestFit="1" customWidth="1"/>
    <col min="9" max="9" width="7.85546875" style="134" bestFit="1" customWidth="1"/>
    <col min="10" max="10" width="2.28515625" style="134" customWidth="1"/>
    <col min="11" max="11" width="7.85546875" style="134" bestFit="1" customWidth="1"/>
    <col min="12" max="13" width="5.140625" style="134" customWidth="1"/>
    <col min="14" max="15" width="7.42578125" style="134" customWidth="1"/>
    <col min="16" max="16" width="10.42578125" style="134" customWidth="1"/>
    <col min="17" max="17" width="7.28515625" style="134" customWidth="1"/>
    <col min="18" max="18" width="9.5703125" style="134" customWidth="1"/>
    <col min="19" max="19" width="10.42578125" style="134" customWidth="1"/>
    <col min="20" max="22" width="7.28515625" style="134" customWidth="1"/>
    <col min="23" max="25" width="11.7109375" style="134" customWidth="1"/>
    <col min="26" max="26" width="7.85546875" style="134" customWidth="1"/>
    <col min="27" max="31" width="7.140625" style="134" customWidth="1"/>
    <col min="32" max="32" width="9.42578125" style="134" customWidth="1"/>
    <col min="33" max="33" width="7.85546875" style="134" customWidth="1"/>
    <col min="34" max="38" width="7.140625" style="134" customWidth="1"/>
    <col min="39" max="39" width="9.42578125" style="134" customWidth="1"/>
    <col min="40" max="40" width="9" style="134" customWidth="1"/>
    <col min="41" max="45" width="7.140625" style="134" customWidth="1"/>
    <col min="46" max="47" width="9.42578125" style="134" customWidth="1"/>
    <col min="48" max="48" width="5.42578125" style="134" customWidth="1"/>
    <col min="49" max="53" width="11.5703125" style="134" customWidth="1"/>
    <col min="54" max="56" width="7.85546875" style="134" customWidth="1"/>
    <col min="57" max="61" width="9.42578125" style="134" customWidth="1"/>
    <col min="62" max="62" width="10.42578125" style="134" bestFit="1" customWidth="1"/>
    <col min="63" max="63" width="10.5703125" style="134" bestFit="1" customWidth="1"/>
    <col min="64" max="64" width="7.28515625" style="134" customWidth="1"/>
    <col min="65" max="16384" width="11.42578125" style="134" hidden="1"/>
  </cols>
  <sheetData>
    <row r="1" spans="1:64" s="11" customFormat="1" ht="15" x14ac:dyDescent="0.25">
      <c r="A1" s="11" t="s">
        <v>249</v>
      </c>
      <c r="B1" s="96"/>
      <c r="E1" s="153">
        <v>4</v>
      </c>
      <c r="F1" s="153">
        <v>5</v>
      </c>
      <c r="G1" s="153">
        <v>6</v>
      </c>
      <c r="H1" s="153">
        <v>7</v>
      </c>
      <c r="I1" s="153">
        <v>8</v>
      </c>
      <c r="J1" s="153"/>
      <c r="K1" s="153">
        <v>10</v>
      </c>
      <c r="L1" s="153">
        <v>11</v>
      </c>
      <c r="M1" s="153">
        <v>12</v>
      </c>
      <c r="N1" s="153">
        <v>13</v>
      </c>
      <c r="O1" s="153">
        <v>14</v>
      </c>
      <c r="P1" s="153">
        <v>15</v>
      </c>
      <c r="Q1" s="153">
        <v>16</v>
      </c>
      <c r="R1" s="153">
        <v>17</v>
      </c>
      <c r="S1" s="153">
        <v>18</v>
      </c>
      <c r="T1" s="153">
        <v>19</v>
      </c>
      <c r="U1" s="153">
        <v>20</v>
      </c>
      <c r="V1" s="153">
        <v>21</v>
      </c>
      <c r="W1" s="153">
        <v>22</v>
      </c>
      <c r="X1" s="153">
        <v>23</v>
      </c>
      <c r="Y1" s="153">
        <v>24</v>
      </c>
      <c r="Z1" s="153">
        <v>25</v>
      </c>
      <c r="AA1" s="153">
        <v>26</v>
      </c>
      <c r="AB1" s="153">
        <v>27</v>
      </c>
      <c r="AC1" s="153">
        <v>28</v>
      </c>
      <c r="AD1" s="153">
        <v>29</v>
      </c>
      <c r="AE1" s="153">
        <v>30</v>
      </c>
      <c r="AF1" s="153">
        <v>31</v>
      </c>
      <c r="AG1" s="153">
        <v>32</v>
      </c>
      <c r="AH1" s="153">
        <v>33</v>
      </c>
      <c r="AI1" s="153">
        <v>34</v>
      </c>
      <c r="AJ1" s="153">
        <v>35</v>
      </c>
      <c r="AK1" s="153">
        <v>36</v>
      </c>
      <c r="AL1" s="153">
        <v>37</v>
      </c>
      <c r="AM1" s="153">
        <v>38</v>
      </c>
      <c r="AN1" s="153">
        <v>39</v>
      </c>
      <c r="AO1" s="153">
        <v>40</v>
      </c>
      <c r="AP1" s="153">
        <v>41</v>
      </c>
      <c r="AQ1" s="153">
        <v>42</v>
      </c>
      <c r="AR1" s="153">
        <v>43</v>
      </c>
      <c r="AS1" s="153">
        <v>44</v>
      </c>
      <c r="AT1" s="153">
        <v>45</v>
      </c>
      <c r="AU1" s="153">
        <v>46</v>
      </c>
      <c r="AV1" s="153">
        <v>47</v>
      </c>
      <c r="AW1" s="153">
        <v>48</v>
      </c>
      <c r="AX1" s="153">
        <v>49</v>
      </c>
      <c r="AY1" s="153">
        <v>50</v>
      </c>
      <c r="AZ1" s="153">
        <v>51</v>
      </c>
      <c r="BA1" s="153">
        <v>52</v>
      </c>
      <c r="BB1" s="153">
        <v>53</v>
      </c>
      <c r="BC1" s="153">
        <v>54</v>
      </c>
      <c r="BD1" s="153">
        <v>55</v>
      </c>
      <c r="BE1" s="153">
        <v>56</v>
      </c>
      <c r="BF1" s="153">
        <v>57</v>
      </c>
      <c r="BG1" s="153">
        <v>58</v>
      </c>
      <c r="BH1" s="153">
        <v>59</v>
      </c>
      <c r="BI1" s="153">
        <v>60</v>
      </c>
      <c r="BJ1" s="153">
        <v>61</v>
      </c>
      <c r="BK1" s="153">
        <v>62</v>
      </c>
      <c r="BL1" s="153">
        <v>63</v>
      </c>
    </row>
    <row r="2" spans="1:64" s="98" customFormat="1" ht="12.75" x14ac:dyDescent="0.2">
      <c r="A2" s="98" t="s">
        <v>143</v>
      </c>
      <c r="B2" s="99"/>
      <c r="O2" s="154"/>
      <c r="T2" s="154"/>
      <c r="U2" s="154"/>
      <c r="V2" s="154"/>
      <c r="W2" s="154"/>
      <c r="Z2" s="100"/>
      <c r="AA2" s="100"/>
      <c r="AB2" s="100"/>
      <c r="AC2" s="100"/>
      <c r="AD2" s="100"/>
      <c r="AE2" s="100"/>
      <c r="AF2" s="100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00"/>
      <c r="AW2" s="154"/>
      <c r="AX2" s="100"/>
      <c r="AY2" s="100"/>
      <c r="AZ2" s="100"/>
      <c r="BA2" s="100"/>
      <c r="BB2" s="100"/>
      <c r="BC2" s="100"/>
      <c r="BD2" s="100"/>
      <c r="BE2" s="154"/>
      <c r="BF2" s="100"/>
      <c r="BG2" s="100"/>
      <c r="BH2" s="100"/>
      <c r="BI2" s="100"/>
      <c r="BJ2" s="100"/>
      <c r="BK2" s="100"/>
      <c r="BL2" s="154"/>
    </row>
    <row r="3" spans="1:64" x14ac:dyDescent="0.2">
      <c r="A3" s="101"/>
      <c r="B3" s="102"/>
      <c r="C3" s="103" t="s">
        <v>144</v>
      </c>
      <c r="D3" s="104"/>
      <c r="E3" s="104"/>
      <c r="F3" s="104"/>
      <c r="G3" s="105"/>
      <c r="H3" s="105"/>
      <c r="I3" s="104"/>
      <c r="J3" s="104"/>
      <c r="K3" s="106"/>
      <c r="L3" s="107" t="s">
        <v>145</v>
      </c>
      <c r="M3" s="108"/>
      <c r="N3" s="108"/>
      <c r="O3" s="108"/>
      <c r="P3" s="109" t="s">
        <v>146</v>
      </c>
      <c r="Q3" s="105"/>
      <c r="R3" s="105"/>
      <c r="S3" s="105"/>
      <c r="T3" s="109" t="s">
        <v>147</v>
      </c>
      <c r="U3" s="105"/>
      <c r="V3" s="105"/>
      <c r="W3" s="109" t="s">
        <v>148</v>
      </c>
      <c r="X3" s="105"/>
      <c r="Y3" s="105"/>
      <c r="Z3" s="109" t="s">
        <v>248</v>
      </c>
      <c r="AA3" s="105"/>
      <c r="AB3" s="105"/>
      <c r="AC3" s="105"/>
      <c r="AD3" s="105"/>
      <c r="AE3" s="105"/>
      <c r="AF3" s="105"/>
      <c r="AG3" s="109" t="s">
        <v>250</v>
      </c>
      <c r="AH3" s="105"/>
      <c r="AI3" s="105"/>
      <c r="AJ3" s="105"/>
      <c r="AK3" s="105"/>
      <c r="AL3" s="105"/>
      <c r="AM3" s="105"/>
      <c r="AN3" s="109" t="s">
        <v>251</v>
      </c>
      <c r="AO3" s="105"/>
      <c r="AP3" s="105"/>
      <c r="AQ3" s="105"/>
      <c r="AR3" s="105"/>
      <c r="AS3" s="105"/>
      <c r="AT3" s="105"/>
      <c r="AU3" s="105"/>
      <c r="AV3" s="109" t="s">
        <v>221</v>
      </c>
      <c r="AW3" s="199"/>
      <c r="AX3" s="105" t="s">
        <v>146</v>
      </c>
      <c r="AY3" s="105"/>
      <c r="AZ3" s="105"/>
      <c r="BA3" s="105"/>
      <c r="BB3" s="105"/>
      <c r="BC3" s="105"/>
      <c r="BD3" s="199"/>
      <c r="BE3" s="105" t="s">
        <v>147</v>
      </c>
      <c r="BF3" s="105"/>
      <c r="BG3" s="105"/>
      <c r="BH3" s="105"/>
      <c r="BI3" s="199"/>
      <c r="BJ3" s="105" t="s">
        <v>224</v>
      </c>
      <c r="BK3" s="199"/>
      <c r="BL3" s="110"/>
    </row>
    <row r="4" spans="1:64" s="89" customFormat="1" ht="75.75" customHeight="1" x14ac:dyDescent="0.2">
      <c r="A4" s="83" t="s">
        <v>0</v>
      </c>
      <c r="B4" s="84" t="s">
        <v>1</v>
      </c>
      <c r="C4" s="85" t="s">
        <v>2</v>
      </c>
      <c r="D4" s="86" t="s">
        <v>3</v>
      </c>
      <c r="E4" s="86" t="s">
        <v>4</v>
      </c>
      <c r="F4" s="86" t="s">
        <v>5</v>
      </c>
      <c r="G4" s="111" t="s">
        <v>14</v>
      </c>
      <c r="H4" s="111" t="s">
        <v>15</v>
      </c>
      <c r="I4" s="86" t="s">
        <v>149</v>
      </c>
      <c r="J4" s="86"/>
      <c r="K4" s="87" t="s">
        <v>150</v>
      </c>
      <c r="L4" s="112" t="s">
        <v>246</v>
      </c>
      <c r="M4" s="111" t="s">
        <v>252</v>
      </c>
      <c r="N4" s="111" t="s">
        <v>247</v>
      </c>
      <c r="O4" s="111" t="s">
        <v>253</v>
      </c>
      <c r="P4" s="112" t="s">
        <v>254</v>
      </c>
      <c r="Q4" s="111" t="s">
        <v>255</v>
      </c>
      <c r="R4" s="111" t="s">
        <v>256</v>
      </c>
      <c r="S4" s="111" t="s">
        <v>257</v>
      </c>
      <c r="T4" s="112" t="s">
        <v>258</v>
      </c>
      <c r="U4" s="111" t="s">
        <v>259</v>
      </c>
      <c r="V4" s="111" t="s">
        <v>260</v>
      </c>
      <c r="W4" s="112" t="s">
        <v>151</v>
      </c>
      <c r="X4" s="111" t="s">
        <v>6</v>
      </c>
      <c r="Y4" s="114" t="s">
        <v>7</v>
      </c>
      <c r="Z4" s="112" t="s">
        <v>8</v>
      </c>
      <c r="AA4" s="111" t="s">
        <v>9</v>
      </c>
      <c r="AB4" s="111" t="s">
        <v>10</v>
      </c>
      <c r="AC4" s="111" t="s">
        <v>11</v>
      </c>
      <c r="AD4" s="111" t="s">
        <v>152</v>
      </c>
      <c r="AE4" s="114" t="s">
        <v>153</v>
      </c>
      <c r="AF4" s="113" t="s">
        <v>12</v>
      </c>
      <c r="AG4" s="112" t="s">
        <v>8</v>
      </c>
      <c r="AH4" s="111" t="s">
        <v>9</v>
      </c>
      <c r="AI4" s="111" t="s">
        <v>10</v>
      </c>
      <c r="AJ4" s="111" t="s">
        <v>11</v>
      </c>
      <c r="AK4" s="111" t="s">
        <v>152</v>
      </c>
      <c r="AL4" s="114" t="s">
        <v>153</v>
      </c>
      <c r="AM4" s="113" t="s">
        <v>12</v>
      </c>
      <c r="AN4" s="112" t="s">
        <v>8</v>
      </c>
      <c r="AO4" s="111" t="s">
        <v>9</v>
      </c>
      <c r="AP4" s="111" t="s">
        <v>10</v>
      </c>
      <c r="AQ4" s="111" t="s">
        <v>11</v>
      </c>
      <c r="AR4" s="111" t="s">
        <v>152</v>
      </c>
      <c r="AS4" s="114" t="s">
        <v>153</v>
      </c>
      <c r="AT4" s="113" t="s">
        <v>12</v>
      </c>
      <c r="AU4" s="112" t="s">
        <v>154</v>
      </c>
      <c r="AV4" s="112" t="s">
        <v>13</v>
      </c>
      <c r="AW4" s="114" t="s">
        <v>155</v>
      </c>
      <c r="AX4" s="200" t="s">
        <v>225</v>
      </c>
      <c r="AY4" s="200" t="s">
        <v>226</v>
      </c>
      <c r="AZ4" s="200" t="s">
        <v>227</v>
      </c>
      <c r="BA4" s="200" t="s">
        <v>228</v>
      </c>
      <c r="BB4" s="200" t="s">
        <v>229</v>
      </c>
      <c r="BC4" s="200" t="s">
        <v>230</v>
      </c>
      <c r="BD4" s="218" t="s">
        <v>231</v>
      </c>
      <c r="BE4" s="200" t="s">
        <v>232</v>
      </c>
      <c r="BF4" s="200" t="s">
        <v>233</v>
      </c>
      <c r="BG4" s="200" t="s">
        <v>234</v>
      </c>
      <c r="BH4" s="200" t="s">
        <v>235</v>
      </c>
      <c r="BI4" s="201" t="s">
        <v>222</v>
      </c>
      <c r="BJ4" s="200" t="s">
        <v>236</v>
      </c>
      <c r="BK4" s="200" t="s">
        <v>223</v>
      </c>
      <c r="BL4" s="88" t="s">
        <v>261</v>
      </c>
    </row>
    <row r="5" spans="1:64" x14ac:dyDescent="0.2">
      <c r="A5" s="90">
        <v>1</v>
      </c>
      <c r="B5" s="115" t="s">
        <v>16</v>
      </c>
      <c r="C5" s="155">
        <v>0</v>
      </c>
      <c r="D5" s="155">
        <v>0</v>
      </c>
      <c r="E5" s="155">
        <v>0</v>
      </c>
      <c r="F5" s="155">
        <v>13956800</v>
      </c>
      <c r="G5" s="155">
        <v>10177000</v>
      </c>
      <c r="H5" s="155">
        <v>6106200</v>
      </c>
      <c r="I5" s="156">
        <v>0</v>
      </c>
      <c r="J5" s="156"/>
      <c r="K5" s="157">
        <v>0</v>
      </c>
      <c r="L5" s="158">
        <v>1.44</v>
      </c>
      <c r="M5" s="159">
        <v>1.44</v>
      </c>
      <c r="N5" s="116">
        <v>75481</v>
      </c>
      <c r="O5" s="116">
        <v>75522</v>
      </c>
      <c r="P5" s="160">
        <v>10115.339600000001</v>
      </c>
      <c r="Q5" s="116">
        <v>1714</v>
      </c>
      <c r="R5" s="161">
        <v>5635.0746512136202</v>
      </c>
      <c r="S5" s="162">
        <v>3937.9027499999997</v>
      </c>
      <c r="T5" s="119">
        <v>6728</v>
      </c>
      <c r="U5" s="117">
        <v>209</v>
      </c>
      <c r="V5" s="126">
        <v>1.0900000000000001</v>
      </c>
      <c r="W5" s="120">
        <v>4132478.7</v>
      </c>
      <c r="X5" s="121">
        <v>32948726</v>
      </c>
      <c r="Y5" s="137">
        <v>13382792.749999994</v>
      </c>
      <c r="Z5" s="123">
        <v>2820.6628382342651</v>
      </c>
      <c r="AA5" s="123">
        <v>197.99551238059908</v>
      </c>
      <c r="AB5" s="123">
        <v>583.26040791722426</v>
      </c>
      <c r="AC5" s="123">
        <v>174.04214391662563</v>
      </c>
      <c r="AD5" s="123">
        <v>87.282212079861168</v>
      </c>
      <c r="AE5" s="123">
        <v>110.03388799830419</v>
      </c>
      <c r="AF5" s="124">
        <v>3973.2770025268792</v>
      </c>
      <c r="AG5" s="123">
        <v>2932.9353417059674</v>
      </c>
      <c r="AH5" s="123">
        <v>174.08197545086202</v>
      </c>
      <c r="AI5" s="123">
        <v>561.84048091946715</v>
      </c>
      <c r="AJ5" s="123">
        <v>179.94885773560381</v>
      </c>
      <c r="AK5" s="123">
        <v>116.55026349937766</v>
      </c>
      <c r="AL5" s="123">
        <v>128.64953126241357</v>
      </c>
      <c r="AM5" s="124">
        <v>4094.0064505736918</v>
      </c>
      <c r="AN5" s="125">
        <v>2876.7990899701163</v>
      </c>
      <c r="AO5" s="126">
        <v>186.03874391573055</v>
      </c>
      <c r="AP5" s="108">
        <v>572.55044441834571</v>
      </c>
      <c r="AQ5" s="108">
        <v>176.99550082611472</v>
      </c>
      <c r="AR5" s="126">
        <v>101.91623778961942</v>
      </c>
      <c r="AS5" s="127">
        <v>119.34170963035888</v>
      </c>
      <c r="AT5" s="124">
        <v>4033.641726550286</v>
      </c>
      <c r="AU5" s="120">
        <v>3432.7811739527956</v>
      </c>
      <c r="AV5" s="128">
        <v>0.96</v>
      </c>
      <c r="AW5" s="129">
        <v>-0.87518038894627281</v>
      </c>
      <c r="AX5" s="211">
        <v>-0.67909731858667921</v>
      </c>
      <c r="AY5" s="212">
        <v>-1.3350481045448599E-2</v>
      </c>
      <c r="AZ5" s="212">
        <v>0.1596470574073334</v>
      </c>
      <c r="BA5" s="212">
        <v>-5.0917413975811357E-2</v>
      </c>
      <c r="BB5" s="202">
        <v>1.1538861902446025</v>
      </c>
      <c r="BC5" s="126">
        <v>249</v>
      </c>
      <c r="BD5" s="131">
        <v>0.9</v>
      </c>
      <c r="BE5" s="126">
        <v>18729.907801024532</v>
      </c>
      <c r="BF5" s="126">
        <v>11000</v>
      </c>
      <c r="BG5" s="130">
        <v>0.65</v>
      </c>
      <c r="BH5" s="130">
        <v>0.65</v>
      </c>
      <c r="BI5" s="131">
        <v>0.2</v>
      </c>
      <c r="BJ5" s="128">
        <v>0.6</v>
      </c>
      <c r="BK5" s="130">
        <v>0.2</v>
      </c>
      <c r="BL5" s="163">
        <v>1.0349999999999999</v>
      </c>
    </row>
    <row r="6" spans="1:64" x14ac:dyDescent="0.2">
      <c r="A6" s="91">
        <v>2</v>
      </c>
      <c r="B6" s="132" t="s">
        <v>17</v>
      </c>
      <c r="C6" s="155">
        <v>4634500</v>
      </c>
      <c r="D6" s="155">
        <v>0</v>
      </c>
      <c r="E6" s="155">
        <v>284600</v>
      </c>
      <c r="F6" s="155">
        <v>60300</v>
      </c>
      <c r="G6" s="97"/>
      <c r="H6" s="97"/>
      <c r="I6" s="164">
        <v>0</v>
      </c>
      <c r="J6" s="164"/>
      <c r="K6" s="165">
        <v>0</v>
      </c>
      <c r="L6" s="166">
        <v>1.45</v>
      </c>
      <c r="M6" s="118">
        <v>1.45</v>
      </c>
      <c r="N6" s="133">
        <v>9779</v>
      </c>
      <c r="O6" s="133">
        <v>9784</v>
      </c>
      <c r="P6" s="167">
        <v>1320.7658000000001</v>
      </c>
      <c r="Q6" s="133">
        <v>0</v>
      </c>
      <c r="R6" s="168">
        <v>0</v>
      </c>
      <c r="S6" s="169">
        <v>1219.8876299999999</v>
      </c>
      <c r="T6" s="135">
        <v>1097</v>
      </c>
      <c r="U6" s="97">
        <v>25</v>
      </c>
      <c r="V6" s="139">
        <v>1.03</v>
      </c>
      <c r="W6" s="136">
        <v>67928.05</v>
      </c>
      <c r="X6" s="123">
        <v>1788197.45</v>
      </c>
      <c r="Y6" s="137">
        <v>1461992.6500000001</v>
      </c>
      <c r="Z6" s="123">
        <v>2243.7172036339575</v>
      </c>
      <c r="AA6" s="123">
        <v>31.180327231823298</v>
      </c>
      <c r="AB6" s="123">
        <v>238.75551181102361</v>
      </c>
      <c r="AC6" s="123">
        <v>137.70848009029768</v>
      </c>
      <c r="AD6" s="123">
        <v>86.303563759075573</v>
      </c>
      <c r="AE6" s="123">
        <v>66.369020349728999</v>
      </c>
      <c r="AF6" s="122">
        <v>2804.0341068759067</v>
      </c>
      <c r="AG6" s="123">
        <v>2287.8690694371344</v>
      </c>
      <c r="AH6" s="123">
        <v>57.768586467702356</v>
      </c>
      <c r="AI6" s="123">
        <v>178.29252350776778</v>
      </c>
      <c r="AJ6" s="123">
        <v>142.1122622804595</v>
      </c>
      <c r="AK6" s="123">
        <v>72.472608340147175</v>
      </c>
      <c r="AL6" s="123">
        <v>100.55213614063777</v>
      </c>
      <c r="AM6" s="122">
        <v>2839.0671861738488</v>
      </c>
      <c r="AN6" s="138">
        <v>2265.7931365355462</v>
      </c>
      <c r="AO6" s="139">
        <v>44.474456849762831</v>
      </c>
      <c r="AP6" s="140">
        <v>208.5240176593957</v>
      </c>
      <c r="AQ6" s="140">
        <v>139.91037118537861</v>
      </c>
      <c r="AR6" s="139">
        <v>79.388086049611374</v>
      </c>
      <c r="AS6" s="141">
        <v>83.460578245183385</v>
      </c>
      <c r="AT6" s="122">
        <v>2821.5506465248782</v>
      </c>
      <c r="AU6" s="136">
        <v>3432.7811739527956</v>
      </c>
      <c r="AV6" s="142">
        <v>0.96</v>
      </c>
      <c r="AW6" s="143">
        <v>0</v>
      </c>
      <c r="AX6" s="213">
        <v>-0.67277530771701333</v>
      </c>
      <c r="AY6" s="214">
        <v>-2.8943168829968974E-2</v>
      </c>
      <c r="AZ6" s="214">
        <v>-7.3800818973715016E-2</v>
      </c>
      <c r="BA6" s="214">
        <v>-4.008381134432748E-2</v>
      </c>
      <c r="BB6" s="203">
        <v>1.1538861902446025</v>
      </c>
      <c r="BC6" s="139">
        <v>249</v>
      </c>
      <c r="BD6" s="204">
        <v>0.9</v>
      </c>
      <c r="BE6" s="139">
        <v>18729.907801024532</v>
      </c>
      <c r="BF6" s="139">
        <v>11000</v>
      </c>
      <c r="BG6" s="205">
        <v>0.65</v>
      </c>
      <c r="BH6" s="205">
        <v>0.65</v>
      </c>
      <c r="BI6" s="204">
        <v>0.2</v>
      </c>
      <c r="BJ6" s="142">
        <v>0.6</v>
      </c>
      <c r="BK6" s="205">
        <v>0.2</v>
      </c>
      <c r="BL6" s="170"/>
    </row>
    <row r="7" spans="1:64" x14ac:dyDescent="0.2">
      <c r="A7" s="91">
        <v>3</v>
      </c>
      <c r="B7" s="132" t="s">
        <v>18</v>
      </c>
      <c r="C7" s="155">
        <v>464400</v>
      </c>
      <c r="D7" s="155">
        <v>422000</v>
      </c>
      <c r="E7" s="155">
        <v>190900</v>
      </c>
      <c r="F7" s="155">
        <v>0</v>
      </c>
      <c r="G7" s="97"/>
      <c r="H7" s="97"/>
      <c r="I7" s="164">
        <v>0</v>
      </c>
      <c r="J7" s="164"/>
      <c r="K7" s="165">
        <v>0</v>
      </c>
      <c r="L7" s="166">
        <v>1.38</v>
      </c>
      <c r="M7" s="118">
        <v>1.32</v>
      </c>
      <c r="N7" s="133">
        <v>1310</v>
      </c>
      <c r="O7" s="133">
        <v>1332</v>
      </c>
      <c r="P7" s="167">
        <v>704.20600000000002</v>
      </c>
      <c r="Q7" s="133">
        <v>2</v>
      </c>
      <c r="R7" s="168">
        <v>0</v>
      </c>
      <c r="S7" s="169">
        <v>907.13436999999999</v>
      </c>
      <c r="T7" s="135">
        <v>166</v>
      </c>
      <c r="U7" s="97">
        <v>1</v>
      </c>
      <c r="V7" s="139">
        <v>0.86</v>
      </c>
      <c r="W7" s="136">
        <v>39486</v>
      </c>
      <c r="X7" s="123">
        <v>64740</v>
      </c>
      <c r="Y7" s="137">
        <v>100116.9</v>
      </c>
      <c r="Z7" s="123">
        <v>2421.9364694096898</v>
      </c>
      <c r="AA7" s="123">
        <v>50.753916030534342</v>
      </c>
      <c r="AB7" s="123">
        <v>54.339999999999996</v>
      </c>
      <c r="AC7" s="123">
        <v>153.01634095634029</v>
      </c>
      <c r="AD7" s="123">
        <v>100.72977099236641</v>
      </c>
      <c r="AE7" s="123">
        <v>109.64725190839694</v>
      </c>
      <c r="AF7" s="122">
        <v>2890.4237492973275</v>
      </c>
      <c r="AG7" s="123">
        <v>2500.8049028744649</v>
      </c>
      <c r="AH7" s="123">
        <v>45.852439939939941</v>
      </c>
      <c r="AI7" s="123">
        <v>75.3834084084084</v>
      </c>
      <c r="AJ7" s="123">
        <v>154.06926075835125</v>
      </c>
      <c r="AK7" s="123">
        <v>125.54054054054055</v>
      </c>
      <c r="AL7" s="123">
        <v>89.831681681681687</v>
      </c>
      <c r="AM7" s="122">
        <v>2991.4822342033867</v>
      </c>
      <c r="AN7" s="138">
        <v>2461.3706861420774</v>
      </c>
      <c r="AO7" s="139">
        <v>48.303177985237141</v>
      </c>
      <c r="AP7" s="140">
        <v>64.861704204204202</v>
      </c>
      <c r="AQ7" s="140">
        <v>153.54280085734575</v>
      </c>
      <c r="AR7" s="139">
        <v>113.13515576645348</v>
      </c>
      <c r="AS7" s="141">
        <v>99.739466795039306</v>
      </c>
      <c r="AT7" s="122">
        <v>2940.9529917503573</v>
      </c>
      <c r="AU7" s="136">
        <v>3432.7811739527956</v>
      </c>
      <c r="AV7" s="142">
        <v>0.96</v>
      </c>
      <c r="AW7" s="143">
        <v>0</v>
      </c>
      <c r="AX7" s="213">
        <v>1.6898887479447935</v>
      </c>
      <c r="AY7" s="214">
        <v>-2.791157337786937E-2</v>
      </c>
      <c r="AZ7" s="214">
        <v>-7.3800818973715016E-2</v>
      </c>
      <c r="BA7" s="214">
        <v>4.3005808317721106E-2</v>
      </c>
      <c r="BB7" s="203">
        <v>1.1538861902446025</v>
      </c>
      <c r="BC7" s="139">
        <v>249</v>
      </c>
      <c r="BD7" s="204">
        <v>0.9</v>
      </c>
      <c r="BE7" s="139">
        <v>18729.907801024532</v>
      </c>
      <c r="BF7" s="139">
        <v>11000</v>
      </c>
      <c r="BG7" s="205">
        <v>0.65</v>
      </c>
      <c r="BH7" s="205">
        <v>0.65</v>
      </c>
      <c r="BI7" s="204">
        <v>0.2</v>
      </c>
      <c r="BJ7" s="142">
        <v>0.6</v>
      </c>
      <c r="BK7" s="205">
        <v>0.2</v>
      </c>
      <c r="BL7" s="170"/>
    </row>
    <row r="8" spans="1:64" x14ac:dyDescent="0.2">
      <c r="A8" s="91">
        <v>4</v>
      </c>
      <c r="B8" s="132" t="s">
        <v>19</v>
      </c>
      <c r="C8" s="155">
        <v>819900</v>
      </c>
      <c r="D8" s="155">
        <v>643700</v>
      </c>
      <c r="E8" s="155">
        <v>260800</v>
      </c>
      <c r="F8" s="155">
        <v>0</v>
      </c>
      <c r="G8" s="97"/>
      <c r="H8" s="97"/>
      <c r="I8" s="164">
        <v>0</v>
      </c>
      <c r="J8" s="164"/>
      <c r="K8" s="165">
        <v>0</v>
      </c>
      <c r="L8" s="166">
        <v>1.42</v>
      </c>
      <c r="M8" s="118">
        <v>1.42</v>
      </c>
      <c r="N8" s="133">
        <v>1208</v>
      </c>
      <c r="O8" s="133">
        <v>1200</v>
      </c>
      <c r="P8" s="167">
        <v>855.36900000000003</v>
      </c>
      <c r="Q8" s="133">
        <v>0</v>
      </c>
      <c r="R8" s="168">
        <v>0</v>
      </c>
      <c r="S8" s="169">
        <v>1032.6065800000001</v>
      </c>
      <c r="T8" s="135">
        <v>157</v>
      </c>
      <c r="U8" s="97">
        <v>2</v>
      </c>
      <c r="V8" s="139">
        <v>0.86</v>
      </c>
      <c r="W8" s="136">
        <v>0</v>
      </c>
      <c r="X8" s="123">
        <v>47032.800000000003</v>
      </c>
      <c r="Y8" s="137">
        <v>176597.44999999998</v>
      </c>
      <c r="Z8" s="123">
        <v>2146.3149574380568</v>
      </c>
      <c r="AA8" s="123">
        <v>32.163518211920533</v>
      </c>
      <c r="AB8" s="123">
        <v>81.247930463576154</v>
      </c>
      <c r="AC8" s="123">
        <v>138.56342948085251</v>
      </c>
      <c r="AD8" s="123">
        <v>31.639114238410599</v>
      </c>
      <c r="AE8" s="123">
        <v>92.113369205298014</v>
      </c>
      <c r="AF8" s="122">
        <v>2522.0423190381148</v>
      </c>
      <c r="AG8" s="123">
        <v>2175.3587876871288</v>
      </c>
      <c r="AH8" s="123">
        <v>43.693999999999996</v>
      </c>
      <c r="AI8" s="123">
        <v>129.31058333333334</v>
      </c>
      <c r="AJ8" s="123">
        <v>140.95047925663519</v>
      </c>
      <c r="AK8" s="123">
        <v>87.668875</v>
      </c>
      <c r="AL8" s="123">
        <v>134.39045833333333</v>
      </c>
      <c r="AM8" s="122">
        <v>2711.3731836104307</v>
      </c>
      <c r="AN8" s="138">
        <v>2160.8368725625928</v>
      </c>
      <c r="AO8" s="139">
        <v>37.928759105960268</v>
      </c>
      <c r="AP8" s="140">
        <v>105.27925689845475</v>
      </c>
      <c r="AQ8" s="140">
        <v>139.75695436874383</v>
      </c>
      <c r="AR8" s="139">
        <v>59.653994619205299</v>
      </c>
      <c r="AS8" s="141">
        <v>113.25191376931568</v>
      </c>
      <c r="AT8" s="122">
        <v>2616.7077513242721</v>
      </c>
      <c r="AU8" s="136">
        <v>3432.7811739527956</v>
      </c>
      <c r="AV8" s="142">
        <v>0.96</v>
      </c>
      <c r="AW8" s="143">
        <v>0</v>
      </c>
      <c r="AX8" s="213">
        <v>2.7948775909358159</v>
      </c>
      <c r="AY8" s="214">
        <v>-2.8943168829968974E-2</v>
      </c>
      <c r="AZ8" s="214">
        <v>-7.3800818973715016E-2</v>
      </c>
      <c r="BA8" s="214">
        <v>6.9809801355933024E-2</v>
      </c>
      <c r="BB8" s="203">
        <v>1.1538861902446025</v>
      </c>
      <c r="BC8" s="139">
        <v>249</v>
      </c>
      <c r="BD8" s="204">
        <v>0.9</v>
      </c>
      <c r="BE8" s="139">
        <v>18729.907801024532</v>
      </c>
      <c r="BF8" s="139">
        <v>11000</v>
      </c>
      <c r="BG8" s="205">
        <v>0.65</v>
      </c>
      <c r="BH8" s="205">
        <v>0.65</v>
      </c>
      <c r="BI8" s="204">
        <v>0.2</v>
      </c>
      <c r="BJ8" s="142">
        <v>0.6</v>
      </c>
      <c r="BK8" s="205">
        <v>0.2</v>
      </c>
      <c r="BL8" s="170"/>
    </row>
    <row r="9" spans="1:64" x14ac:dyDescent="0.2">
      <c r="A9" s="91">
        <v>5</v>
      </c>
      <c r="B9" s="132" t="s">
        <v>20</v>
      </c>
      <c r="C9" s="155">
        <v>0</v>
      </c>
      <c r="D9" s="155">
        <v>0</v>
      </c>
      <c r="E9" s="155">
        <v>0</v>
      </c>
      <c r="F9" s="155">
        <v>0</v>
      </c>
      <c r="G9" s="97"/>
      <c r="H9" s="97"/>
      <c r="I9" s="164">
        <v>0</v>
      </c>
      <c r="J9" s="164"/>
      <c r="K9" s="165">
        <v>0</v>
      </c>
      <c r="L9" s="166">
        <v>0.82</v>
      </c>
      <c r="M9" s="118">
        <v>0.79</v>
      </c>
      <c r="N9" s="133">
        <v>3569</v>
      </c>
      <c r="O9" s="133">
        <v>3583</v>
      </c>
      <c r="P9" s="167">
        <v>1012.1705999999999</v>
      </c>
      <c r="Q9" s="133">
        <v>0</v>
      </c>
      <c r="R9" s="168">
        <v>1416.2148153026101</v>
      </c>
      <c r="S9" s="169">
        <v>983.80481999999995</v>
      </c>
      <c r="T9" s="135">
        <v>417</v>
      </c>
      <c r="U9" s="97">
        <v>6</v>
      </c>
      <c r="V9" s="139">
        <v>0.83</v>
      </c>
      <c r="W9" s="136">
        <v>68926.350000000006</v>
      </c>
      <c r="X9" s="123">
        <v>111410.6</v>
      </c>
      <c r="Y9" s="137">
        <v>336672</v>
      </c>
      <c r="Z9" s="123">
        <v>5197.19619571981</v>
      </c>
      <c r="AA9" s="123">
        <v>25.316760997478287</v>
      </c>
      <c r="AB9" s="123">
        <v>182.61245446903894</v>
      </c>
      <c r="AC9" s="123">
        <v>205.74884394120971</v>
      </c>
      <c r="AD9" s="123">
        <v>105.9160549173438</v>
      </c>
      <c r="AE9" s="123">
        <v>220.9153544410199</v>
      </c>
      <c r="AF9" s="122">
        <v>5937.7056644859013</v>
      </c>
      <c r="AG9" s="123">
        <v>5326.5421589150656</v>
      </c>
      <c r="AH9" s="123">
        <v>25.036212670946135</v>
      </c>
      <c r="AI9" s="123">
        <v>231.69330170248398</v>
      </c>
      <c r="AJ9" s="123">
        <v>212.25318722523619</v>
      </c>
      <c r="AK9" s="123">
        <v>132.20192576053586</v>
      </c>
      <c r="AL9" s="123">
        <v>273.76925760535863</v>
      </c>
      <c r="AM9" s="122">
        <v>6201.496043879627</v>
      </c>
      <c r="AN9" s="138">
        <v>5261.8691773174378</v>
      </c>
      <c r="AO9" s="139">
        <v>25.176486834212213</v>
      </c>
      <c r="AP9" s="140">
        <v>207.15287808576147</v>
      </c>
      <c r="AQ9" s="140">
        <v>209.00101558322297</v>
      </c>
      <c r="AR9" s="139">
        <v>119.05899033893982</v>
      </c>
      <c r="AS9" s="141">
        <v>247.34230602318928</v>
      </c>
      <c r="AT9" s="122">
        <v>6069.6008541827641</v>
      </c>
      <c r="AU9" s="136">
        <v>3432.7811739527956</v>
      </c>
      <c r="AV9" s="142">
        <v>0.96</v>
      </c>
      <c r="AW9" s="143">
        <v>-1</v>
      </c>
      <c r="AX9" s="213">
        <v>0.21241976747689451</v>
      </c>
      <c r="AY9" s="214">
        <v>-2.8943168829968974E-2</v>
      </c>
      <c r="AZ9" s="214">
        <v>-1.5130373310573814E-2</v>
      </c>
      <c r="BA9" s="214">
        <v>-1.7697501699315769E-2</v>
      </c>
      <c r="BB9" s="203">
        <v>1.1538861902446025</v>
      </c>
      <c r="BC9" s="139">
        <v>249</v>
      </c>
      <c r="BD9" s="204">
        <v>0.9</v>
      </c>
      <c r="BE9" s="139">
        <v>18729.907801024532</v>
      </c>
      <c r="BF9" s="139">
        <v>11000</v>
      </c>
      <c r="BG9" s="205">
        <v>0.65</v>
      </c>
      <c r="BH9" s="205">
        <v>0.65</v>
      </c>
      <c r="BI9" s="204">
        <v>0.2</v>
      </c>
      <c r="BJ9" s="142">
        <v>0.6</v>
      </c>
      <c r="BK9" s="205">
        <v>0.2</v>
      </c>
      <c r="BL9" s="170"/>
    </row>
    <row r="10" spans="1:64" x14ac:dyDescent="0.2">
      <c r="A10" s="91">
        <v>6</v>
      </c>
      <c r="B10" s="132" t="s">
        <v>21</v>
      </c>
      <c r="C10" s="155">
        <v>0</v>
      </c>
      <c r="D10" s="155">
        <v>0</v>
      </c>
      <c r="E10" s="155">
        <v>0</v>
      </c>
      <c r="F10" s="155">
        <v>209000</v>
      </c>
      <c r="G10" s="97"/>
      <c r="H10" s="97"/>
      <c r="I10" s="164">
        <v>0</v>
      </c>
      <c r="J10" s="164"/>
      <c r="K10" s="165">
        <v>0</v>
      </c>
      <c r="L10" s="166">
        <v>1.07</v>
      </c>
      <c r="M10" s="118">
        <v>1.07</v>
      </c>
      <c r="N10" s="133">
        <v>9052</v>
      </c>
      <c r="O10" s="133">
        <v>9048</v>
      </c>
      <c r="P10" s="167">
        <v>1220.4849999999999</v>
      </c>
      <c r="Q10" s="133">
        <v>0</v>
      </c>
      <c r="R10" s="168">
        <v>0</v>
      </c>
      <c r="S10" s="169">
        <v>493.55441000000002</v>
      </c>
      <c r="T10" s="135">
        <v>969</v>
      </c>
      <c r="U10" s="97">
        <v>34</v>
      </c>
      <c r="V10" s="139">
        <v>1</v>
      </c>
      <c r="W10" s="136">
        <v>399331.25</v>
      </c>
      <c r="X10" s="123">
        <v>1241595.96</v>
      </c>
      <c r="Y10" s="137">
        <v>1630901.5999999999</v>
      </c>
      <c r="Z10" s="123">
        <v>2680.6521099602373</v>
      </c>
      <c r="AA10" s="123">
        <v>84.445282810428637</v>
      </c>
      <c r="AB10" s="123">
        <v>335.40449624392397</v>
      </c>
      <c r="AC10" s="123">
        <v>158.01207078258986</v>
      </c>
      <c r="AD10" s="123">
        <v>80.255855059655332</v>
      </c>
      <c r="AE10" s="123">
        <v>108.02152562969509</v>
      </c>
      <c r="AF10" s="122">
        <v>3446.7913404865303</v>
      </c>
      <c r="AG10" s="123">
        <v>2750.8747566760103</v>
      </c>
      <c r="AH10" s="123">
        <v>90.301707559681688</v>
      </c>
      <c r="AI10" s="123">
        <v>362.76818633952252</v>
      </c>
      <c r="AJ10" s="123">
        <v>164.38155301902995</v>
      </c>
      <c r="AK10" s="123">
        <v>92.333001768346591</v>
      </c>
      <c r="AL10" s="123">
        <v>91.944932581786034</v>
      </c>
      <c r="AM10" s="122">
        <v>3552.6041379443768</v>
      </c>
      <c r="AN10" s="138">
        <v>2715.763433318124</v>
      </c>
      <c r="AO10" s="139">
        <v>87.373495185055162</v>
      </c>
      <c r="AP10" s="140">
        <v>349.08634129172322</v>
      </c>
      <c r="AQ10" s="140">
        <v>161.19681190080991</v>
      </c>
      <c r="AR10" s="139">
        <v>86.294428414000961</v>
      </c>
      <c r="AS10" s="141">
        <v>99.983229105740563</v>
      </c>
      <c r="AT10" s="122">
        <v>3499.6977392154536</v>
      </c>
      <c r="AU10" s="136">
        <v>3432.7811739527956</v>
      </c>
      <c r="AV10" s="142">
        <v>0.96</v>
      </c>
      <c r="AW10" s="143">
        <v>-9.7466983579388433E-2</v>
      </c>
      <c r="AX10" s="213">
        <v>-0.67338975427060421</v>
      </c>
      <c r="AY10" s="214">
        <v>-2.8943168829968974E-2</v>
      </c>
      <c r="AZ10" s="214">
        <v>-7.3800818973715016E-2</v>
      </c>
      <c r="BA10" s="214">
        <v>-5.0558083940523052E-2</v>
      </c>
      <c r="BB10" s="203">
        <v>1.1538861902446025</v>
      </c>
      <c r="BC10" s="139">
        <v>249</v>
      </c>
      <c r="BD10" s="204">
        <v>0.9</v>
      </c>
      <c r="BE10" s="139">
        <v>18729.907801024532</v>
      </c>
      <c r="BF10" s="139">
        <v>11000</v>
      </c>
      <c r="BG10" s="205">
        <v>0.65</v>
      </c>
      <c r="BH10" s="205">
        <v>0.65</v>
      </c>
      <c r="BI10" s="204">
        <v>0.2</v>
      </c>
      <c r="BJ10" s="142">
        <v>0.6</v>
      </c>
      <c r="BK10" s="205">
        <v>0.2</v>
      </c>
      <c r="BL10" s="170"/>
    </row>
    <row r="11" spans="1:64" x14ac:dyDescent="0.2">
      <c r="A11" s="91">
        <v>7</v>
      </c>
      <c r="B11" s="132" t="s">
        <v>22</v>
      </c>
      <c r="C11" s="155">
        <v>0</v>
      </c>
      <c r="D11" s="155">
        <v>0</v>
      </c>
      <c r="E11" s="155">
        <v>0</v>
      </c>
      <c r="F11" s="155">
        <v>0</v>
      </c>
      <c r="G11" s="97"/>
      <c r="H11" s="97"/>
      <c r="I11" s="164">
        <v>0</v>
      </c>
      <c r="J11" s="164"/>
      <c r="K11" s="165">
        <v>0</v>
      </c>
      <c r="L11" s="166">
        <v>1.19</v>
      </c>
      <c r="M11" s="118">
        <v>1.19</v>
      </c>
      <c r="N11" s="133">
        <v>3568</v>
      </c>
      <c r="O11" s="133">
        <v>3591</v>
      </c>
      <c r="P11" s="167">
        <v>577.21100000000001</v>
      </c>
      <c r="Q11" s="133">
        <v>0</v>
      </c>
      <c r="R11" s="168">
        <v>0</v>
      </c>
      <c r="S11" s="169">
        <v>475.64582000000001</v>
      </c>
      <c r="T11" s="135">
        <v>366</v>
      </c>
      <c r="U11" s="97">
        <v>9</v>
      </c>
      <c r="V11" s="139">
        <v>0.94</v>
      </c>
      <c r="W11" s="136">
        <v>10572.6</v>
      </c>
      <c r="X11" s="123">
        <v>577226.56000000006</v>
      </c>
      <c r="Y11" s="137">
        <v>353859.8</v>
      </c>
      <c r="Z11" s="123">
        <v>2436.3113201837537</v>
      </c>
      <c r="AA11" s="123">
        <v>195.12458520179374</v>
      </c>
      <c r="AB11" s="123">
        <v>261.44552970852021</v>
      </c>
      <c r="AC11" s="123">
        <v>173.75479068746961</v>
      </c>
      <c r="AD11" s="123">
        <v>123.92051569506727</v>
      </c>
      <c r="AE11" s="123">
        <v>57.670908071748876</v>
      </c>
      <c r="AF11" s="122">
        <v>3248.2276495483534</v>
      </c>
      <c r="AG11" s="123">
        <v>2580.8530786986889</v>
      </c>
      <c r="AH11" s="123">
        <v>176.80653021442495</v>
      </c>
      <c r="AI11" s="123">
        <v>327.74053188526875</v>
      </c>
      <c r="AJ11" s="123">
        <v>184.07389423690623</v>
      </c>
      <c r="AK11" s="123">
        <v>131.34317738791421</v>
      </c>
      <c r="AL11" s="123">
        <v>122.71287942077416</v>
      </c>
      <c r="AM11" s="122">
        <v>3523.5300918439775</v>
      </c>
      <c r="AN11" s="138">
        <v>2508.5821994412213</v>
      </c>
      <c r="AO11" s="139">
        <v>185.96555770810934</v>
      </c>
      <c r="AP11" s="140">
        <v>294.59303079689448</v>
      </c>
      <c r="AQ11" s="140">
        <v>178.9143424621879</v>
      </c>
      <c r="AR11" s="139">
        <v>127.63184654149075</v>
      </c>
      <c r="AS11" s="141">
        <v>90.191893746261513</v>
      </c>
      <c r="AT11" s="122">
        <v>3385.878870696165</v>
      </c>
      <c r="AU11" s="136">
        <v>3432.7811739527956</v>
      </c>
      <c r="AV11" s="142">
        <v>0.96</v>
      </c>
      <c r="AW11" s="143">
        <v>0</v>
      </c>
      <c r="AX11" s="213">
        <v>-0.51826642778823351</v>
      </c>
      <c r="AY11" s="214">
        <v>-2.8943168829968974E-2</v>
      </c>
      <c r="AZ11" s="214">
        <v>-7.3800818973715016E-2</v>
      </c>
      <c r="BA11" s="214">
        <v>-3.8922918511268681E-2</v>
      </c>
      <c r="BB11" s="203">
        <v>1.1538861902446025</v>
      </c>
      <c r="BC11" s="139">
        <v>249</v>
      </c>
      <c r="BD11" s="204">
        <v>0.9</v>
      </c>
      <c r="BE11" s="139">
        <v>18729.907801024532</v>
      </c>
      <c r="BF11" s="139">
        <v>11000</v>
      </c>
      <c r="BG11" s="205">
        <v>0.65</v>
      </c>
      <c r="BH11" s="205">
        <v>0.65</v>
      </c>
      <c r="BI11" s="204">
        <v>0.2</v>
      </c>
      <c r="BJ11" s="142">
        <v>0.6</v>
      </c>
      <c r="BK11" s="205">
        <v>0.2</v>
      </c>
      <c r="BL11" s="170"/>
    </row>
    <row r="12" spans="1:64" x14ac:dyDescent="0.2">
      <c r="A12" s="91">
        <v>8</v>
      </c>
      <c r="B12" s="132" t="s">
        <v>23</v>
      </c>
      <c r="C12" s="155">
        <v>55700</v>
      </c>
      <c r="D12" s="155">
        <v>67700</v>
      </c>
      <c r="E12" s="155">
        <v>246400</v>
      </c>
      <c r="F12" s="155">
        <v>0</v>
      </c>
      <c r="G12" s="97"/>
      <c r="H12" s="97"/>
      <c r="I12" s="164">
        <v>0</v>
      </c>
      <c r="J12" s="164"/>
      <c r="K12" s="165">
        <v>0</v>
      </c>
      <c r="L12" s="166">
        <v>1.28</v>
      </c>
      <c r="M12" s="118">
        <v>1.28</v>
      </c>
      <c r="N12" s="133">
        <v>843</v>
      </c>
      <c r="O12" s="133">
        <v>823</v>
      </c>
      <c r="P12" s="167">
        <v>274.279</v>
      </c>
      <c r="Q12" s="133">
        <v>0</v>
      </c>
      <c r="R12" s="168">
        <v>0</v>
      </c>
      <c r="S12" s="169">
        <v>375.54810000000003</v>
      </c>
      <c r="T12" s="135">
        <v>113</v>
      </c>
      <c r="U12" s="97">
        <v>0</v>
      </c>
      <c r="V12" s="139">
        <v>0.88</v>
      </c>
      <c r="W12" s="136">
        <v>0</v>
      </c>
      <c r="X12" s="123">
        <v>38392.449999999997</v>
      </c>
      <c r="Y12" s="137">
        <v>51002.15</v>
      </c>
      <c r="Z12" s="123">
        <v>2761.2669311158211</v>
      </c>
      <c r="AA12" s="123">
        <v>46.836998813760374</v>
      </c>
      <c r="AB12" s="123">
        <v>30.481316725978647</v>
      </c>
      <c r="AC12" s="123">
        <v>160.76325887655446</v>
      </c>
      <c r="AD12" s="123">
        <v>93.092645314353504</v>
      </c>
      <c r="AE12" s="123">
        <v>92.261032028469756</v>
      </c>
      <c r="AF12" s="122">
        <v>3184.702182874938</v>
      </c>
      <c r="AG12" s="123">
        <v>2777.8012485665695</v>
      </c>
      <c r="AH12" s="123">
        <v>64.332381530984193</v>
      </c>
      <c r="AI12" s="123">
        <v>42.21579586877278</v>
      </c>
      <c r="AJ12" s="123">
        <v>167.42930845993604</v>
      </c>
      <c r="AK12" s="123">
        <v>67.213851761846897</v>
      </c>
      <c r="AL12" s="123">
        <v>155.16537059538274</v>
      </c>
      <c r="AM12" s="122">
        <v>3274.157956783492</v>
      </c>
      <c r="AN12" s="138">
        <v>2769.5340898411951</v>
      </c>
      <c r="AO12" s="139">
        <v>55.584690172372284</v>
      </c>
      <c r="AP12" s="140">
        <v>36.348556297375715</v>
      </c>
      <c r="AQ12" s="140">
        <v>164.09628366824523</v>
      </c>
      <c r="AR12" s="139">
        <v>80.1532485381002</v>
      </c>
      <c r="AS12" s="141">
        <v>123.71320131192624</v>
      </c>
      <c r="AT12" s="122">
        <v>3229.4300698292145</v>
      </c>
      <c r="AU12" s="136">
        <v>3432.7811739527956</v>
      </c>
      <c r="AV12" s="142">
        <v>0.96</v>
      </c>
      <c r="AW12" s="143">
        <v>0</v>
      </c>
      <c r="AX12" s="213">
        <v>0.51713569637694468</v>
      </c>
      <c r="AY12" s="214">
        <v>-2.8943168829968974E-2</v>
      </c>
      <c r="AZ12" s="214">
        <v>-7.3800818973715016E-2</v>
      </c>
      <c r="BA12" s="214">
        <v>9.4450090592179264E-3</v>
      </c>
      <c r="BB12" s="203">
        <v>1.1538861902446025</v>
      </c>
      <c r="BC12" s="139">
        <v>249</v>
      </c>
      <c r="BD12" s="204">
        <v>0.9</v>
      </c>
      <c r="BE12" s="139">
        <v>18729.907801024532</v>
      </c>
      <c r="BF12" s="139">
        <v>11000</v>
      </c>
      <c r="BG12" s="205">
        <v>0.65</v>
      </c>
      <c r="BH12" s="205">
        <v>0.65</v>
      </c>
      <c r="BI12" s="204">
        <v>0.2</v>
      </c>
      <c r="BJ12" s="142">
        <v>0.6</v>
      </c>
      <c r="BK12" s="205">
        <v>0.2</v>
      </c>
      <c r="BL12" s="170"/>
    </row>
    <row r="13" spans="1:64" x14ac:dyDescent="0.2">
      <c r="A13" s="91">
        <v>9</v>
      </c>
      <c r="B13" s="132" t="s">
        <v>24</v>
      </c>
      <c r="C13" s="155">
        <v>0</v>
      </c>
      <c r="D13" s="155">
        <v>0</v>
      </c>
      <c r="E13" s="155">
        <v>0</v>
      </c>
      <c r="F13" s="155">
        <v>0</v>
      </c>
      <c r="G13" s="97"/>
      <c r="H13" s="97"/>
      <c r="I13" s="164">
        <v>0</v>
      </c>
      <c r="J13" s="164"/>
      <c r="K13" s="165">
        <v>0</v>
      </c>
      <c r="L13" s="166">
        <v>0.85</v>
      </c>
      <c r="M13" s="118">
        <v>0.85</v>
      </c>
      <c r="N13" s="133">
        <v>1418</v>
      </c>
      <c r="O13" s="133">
        <v>1429</v>
      </c>
      <c r="P13" s="167">
        <v>210.18600000000001</v>
      </c>
      <c r="Q13" s="133">
        <v>0</v>
      </c>
      <c r="R13" s="168">
        <v>0</v>
      </c>
      <c r="S13" s="169">
        <v>198.92533</v>
      </c>
      <c r="T13" s="135">
        <v>188</v>
      </c>
      <c r="U13" s="97">
        <v>2</v>
      </c>
      <c r="V13" s="139">
        <v>0.84</v>
      </c>
      <c r="W13" s="136">
        <v>6185.9</v>
      </c>
      <c r="X13" s="123">
        <v>13648</v>
      </c>
      <c r="Y13" s="137">
        <v>153343.20000000001</v>
      </c>
      <c r="Z13" s="123">
        <v>3705.8942369096012</v>
      </c>
      <c r="AA13" s="123">
        <v>75.146205923836391</v>
      </c>
      <c r="AB13" s="123">
        <v>376.47623413258111</v>
      </c>
      <c r="AC13" s="123">
        <v>203.29551301670446</v>
      </c>
      <c r="AD13" s="123">
        <v>310.75744005641747</v>
      </c>
      <c r="AE13" s="123">
        <v>285.44679125528916</v>
      </c>
      <c r="AF13" s="122">
        <v>4957.0164212944301</v>
      </c>
      <c r="AG13" s="123">
        <v>3666.5321563392881</v>
      </c>
      <c r="AH13" s="123">
        <v>96.568404478656404</v>
      </c>
      <c r="AI13" s="123">
        <v>409.74107767669699</v>
      </c>
      <c r="AJ13" s="123">
        <v>211.5465745482534</v>
      </c>
      <c r="AK13" s="123">
        <v>104.01287613715886</v>
      </c>
      <c r="AL13" s="123">
        <v>89.792757172848155</v>
      </c>
      <c r="AM13" s="122">
        <v>4578.1938463529013</v>
      </c>
      <c r="AN13" s="138">
        <v>3686.2131966244447</v>
      </c>
      <c r="AO13" s="139">
        <v>85.85730520124639</v>
      </c>
      <c r="AP13" s="140">
        <v>393.10865590463902</v>
      </c>
      <c r="AQ13" s="140">
        <v>207.42104378247893</v>
      </c>
      <c r="AR13" s="139">
        <v>207.38515809678816</v>
      </c>
      <c r="AS13" s="141">
        <v>187.61977421406866</v>
      </c>
      <c r="AT13" s="122">
        <v>4767.6051338236657</v>
      </c>
      <c r="AU13" s="136">
        <v>3432.7811739527956</v>
      </c>
      <c r="AV13" s="142">
        <v>0.96</v>
      </c>
      <c r="AW13" s="143">
        <v>-1</v>
      </c>
      <c r="AX13" s="213">
        <v>-0.60019740286027101</v>
      </c>
      <c r="AY13" s="214">
        <v>-2.8943168829968974E-2</v>
      </c>
      <c r="AZ13" s="214">
        <v>-7.3800818973715016E-2</v>
      </c>
      <c r="BA13" s="214">
        <v>-3.7914672777582092E-2</v>
      </c>
      <c r="BB13" s="203">
        <v>1.1538861902446025</v>
      </c>
      <c r="BC13" s="139">
        <v>249</v>
      </c>
      <c r="BD13" s="204">
        <v>0.9</v>
      </c>
      <c r="BE13" s="139">
        <v>18729.907801024532</v>
      </c>
      <c r="BF13" s="139">
        <v>11000</v>
      </c>
      <c r="BG13" s="205">
        <v>0.65</v>
      </c>
      <c r="BH13" s="205">
        <v>0.65</v>
      </c>
      <c r="BI13" s="204">
        <v>0.2</v>
      </c>
      <c r="BJ13" s="142">
        <v>0.6</v>
      </c>
      <c r="BK13" s="205">
        <v>0.2</v>
      </c>
      <c r="BL13" s="170"/>
    </row>
    <row r="14" spans="1:64" x14ac:dyDescent="0.2">
      <c r="A14" s="91">
        <v>10</v>
      </c>
      <c r="B14" s="132" t="s">
        <v>25</v>
      </c>
      <c r="C14" s="155">
        <v>130000</v>
      </c>
      <c r="D14" s="155">
        <v>290500</v>
      </c>
      <c r="E14" s="155">
        <v>178400</v>
      </c>
      <c r="F14" s="155">
        <v>0</v>
      </c>
      <c r="G14" s="97"/>
      <c r="H14" s="97"/>
      <c r="I14" s="164">
        <v>0</v>
      </c>
      <c r="J14" s="164"/>
      <c r="K14" s="165">
        <v>0</v>
      </c>
      <c r="L14" s="166">
        <v>1.34</v>
      </c>
      <c r="M14" s="118">
        <v>1.29</v>
      </c>
      <c r="N14" s="133">
        <v>1060</v>
      </c>
      <c r="O14" s="133">
        <v>1055</v>
      </c>
      <c r="P14" s="167">
        <v>519.98360000000002</v>
      </c>
      <c r="Q14" s="133">
        <v>5</v>
      </c>
      <c r="R14" s="168">
        <v>0</v>
      </c>
      <c r="S14" s="169">
        <v>713.53102000000001</v>
      </c>
      <c r="T14" s="135">
        <v>135</v>
      </c>
      <c r="U14" s="97">
        <v>2</v>
      </c>
      <c r="V14" s="139">
        <v>0.8</v>
      </c>
      <c r="W14" s="136">
        <v>0</v>
      </c>
      <c r="X14" s="123">
        <v>29590.65</v>
      </c>
      <c r="Y14" s="137">
        <v>38143.299999999996</v>
      </c>
      <c r="Z14" s="123">
        <v>2605.7805864254969</v>
      </c>
      <c r="AA14" s="123">
        <v>19.976169811320755</v>
      </c>
      <c r="AB14" s="123">
        <v>63.734245283018872</v>
      </c>
      <c r="AC14" s="123">
        <v>155.20866397732351</v>
      </c>
      <c r="AD14" s="123">
        <v>65.403113207547179</v>
      </c>
      <c r="AE14" s="123">
        <v>91.719292452830189</v>
      </c>
      <c r="AF14" s="122">
        <v>3001.8220711575373</v>
      </c>
      <c r="AG14" s="123">
        <v>2891.1817436136798</v>
      </c>
      <c r="AH14" s="123">
        <v>-14.638151658767773</v>
      </c>
      <c r="AI14" s="123">
        <v>68.956587677725111</v>
      </c>
      <c r="AJ14" s="123">
        <v>158.72865720614683</v>
      </c>
      <c r="AK14" s="123">
        <v>120.90023696682465</v>
      </c>
      <c r="AL14" s="123">
        <v>118.76184834123222</v>
      </c>
      <c r="AM14" s="122">
        <v>3343.8909221468407</v>
      </c>
      <c r="AN14" s="138">
        <v>2748.4811650195884</v>
      </c>
      <c r="AO14" s="139">
        <v>2.6690090762764909</v>
      </c>
      <c r="AP14" s="140">
        <v>66.345416480371995</v>
      </c>
      <c r="AQ14" s="140">
        <v>156.96866059173516</v>
      </c>
      <c r="AR14" s="139">
        <v>93.151675087185907</v>
      </c>
      <c r="AS14" s="141">
        <v>105.24057039703121</v>
      </c>
      <c r="AT14" s="122">
        <v>3172.856496652189</v>
      </c>
      <c r="AU14" s="136">
        <v>3432.7811739527956</v>
      </c>
      <c r="AV14" s="142">
        <v>0.96</v>
      </c>
      <c r="AW14" s="143">
        <v>0</v>
      </c>
      <c r="AX14" s="213">
        <v>1.4749951038981137</v>
      </c>
      <c r="AY14" s="214">
        <v>-2.5687042900592972E-2</v>
      </c>
      <c r="AZ14" s="214">
        <v>-7.3800818973715016E-2</v>
      </c>
      <c r="BA14" s="214">
        <v>4.2304009863686286E-2</v>
      </c>
      <c r="BB14" s="203">
        <v>1.1538861902446025</v>
      </c>
      <c r="BC14" s="139">
        <v>249</v>
      </c>
      <c r="BD14" s="204">
        <v>0.9</v>
      </c>
      <c r="BE14" s="139">
        <v>18729.907801024532</v>
      </c>
      <c r="BF14" s="139">
        <v>11000</v>
      </c>
      <c r="BG14" s="205">
        <v>0.65</v>
      </c>
      <c r="BH14" s="205">
        <v>0.65</v>
      </c>
      <c r="BI14" s="204">
        <v>0.2</v>
      </c>
      <c r="BJ14" s="142">
        <v>0.6</v>
      </c>
      <c r="BK14" s="205">
        <v>0.2</v>
      </c>
      <c r="BL14" s="170"/>
    </row>
    <row r="15" spans="1:64" x14ac:dyDescent="0.2">
      <c r="A15" s="91">
        <v>11</v>
      </c>
      <c r="B15" s="132" t="s">
        <v>26</v>
      </c>
      <c r="C15" s="155">
        <v>824200</v>
      </c>
      <c r="D15" s="155">
        <v>650300</v>
      </c>
      <c r="E15" s="155">
        <v>753700</v>
      </c>
      <c r="F15" s="155">
        <v>0</v>
      </c>
      <c r="G15" s="97"/>
      <c r="H15" s="97"/>
      <c r="I15" s="164">
        <v>0</v>
      </c>
      <c r="J15" s="164"/>
      <c r="K15" s="165">
        <v>0</v>
      </c>
      <c r="L15" s="166">
        <v>1.42</v>
      </c>
      <c r="M15" s="118">
        <v>1.4</v>
      </c>
      <c r="N15" s="133">
        <v>2293</v>
      </c>
      <c r="O15" s="133">
        <v>2275</v>
      </c>
      <c r="P15" s="167">
        <v>873.35140000000001</v>
      </c>
      <c r="Q15" s="133">
        <v>2032</v>
      </c>
      <c r="R15" s="168">
        <v>3386.5465408291998</v>
      </c>
      <c r="S15" s="169">
        <v>890.26861000000008</v>
      </c>
      <c r="T15" s="135">
        <v>316</v>
      </c>
      <c r="U15" s="97">
        <v>10</v>
      </c>
      <c r="V15" s="139">
        <v>0.88</v>
      </c>
      <c r="W15" s="136">
        <v>23113</v>
      </c>
      <c r="X15" s="123">
        <v>131843.44</v>
      </c>
      <c r="Y15" s="137">
        <v>219319.35</v>
      </c>
      <c r="Z15" s="123">
        <v>2510.3476858920458</v>
      </c>
      <c r="AA15" s="123">
        <v>25.904252071522023</v>
      </c>
      <c r="AB15" s="123">
        <v>46.992477104230268</v>
      </c>
      <c r="AC15" s="123">
        <v>140.72263079477409</v>
      </c>
      <c r="AD15" s="123">
        <v>47.986938508504146</v>
      </c>
      <c r="AE15" s="123">
        <v>45.680135194068903</v>
      </c>
      <c r="AF15" s="122">
        <v>2817.6341195651448</v>
      </c>
      <c r="AG15" s="123">
        <v>2541.6212109467388</v>
      </c>
      <c r="AH15" s="123">
        <v>7.9440439560439593</v>
      </c>
      <c r="AI15" s="123">
        <v>96.735054945054941</v>
      </c>
      <c r="AJ15" s="123">
        <v>145.99266957380721</v>
      </c>
      <c r="AK15" s="123">
        <v>104.04032967032967</v>
      </c>
      <c r="AL15" s="123">
        <v>158.089010989011</v>
      </c>
      <c r="AM15" s="122">
        <v>3054.4223200809856</v>
      </c>
      <c r="AN15" s="138">
        <v>2525.9844484193923</v>
      </c>
      <c r="AO15" s="139">
        <v>16.92414801378299</v>
      </c>
      <c r="AP15" s="140">
        <v>71.863766024642601</v>
      </c>
      <c r="AQ15" s="140">
        <v>143.35765018429066</v>
      </c>
      <c r="AR15" s="139">
        <v>76.013634089416911</v>
      </c>
      <c r="AS15" s="141">
        <v>101.88457309153995</v>
      </c>
      <c r="AT15" s="122">
        <v>2936.0282198230657</v>
      </c>
      <c r="AU15" s="136">
        <v>3432.7811739527956</v>
      </c>
      <c r="AV15" s="142">
        <v>0.96</v>
      </c>
      <c r="AW15" s="143">
        <v>0</v>
      </c>
      <c r="AX15" s="213">
        <v>0.82094295466714939</v>
      </c>
      <c r="AY15" s="214">
        <v>0.5847141957730283</v>
      </c>
      <c r="AZ15" s="214">
        <v>6.6495831409061248E-2</v>
      </c>
      <c r="BA15" s="214">
        <v>-2.6097966894428614E-4</v>
      </c>
      <c r="BB15" s="203">
        <v>1.1538861902446025</v>
      </c>
      <c r="BC15" s="139">
        <v>249</v>
      </c>
      <c r="BD15" s="204">
        <v>0.9</v>
      </c>
      <c r="BE15" s="139">
        <v>18729.907801024532</v>
      </c>
      <c r="BF15" s="139">
        <v>11000</v>
      </c>
      <c r="BG15" s="205">
        <v>0.65</v>
      </c>
      <c r="BH15" s="205">
        <v>0.65</v>
      </c>
      <c r="BI15" s="204">
        <v>0.2</v>
      </c>
      <c r="BJ15" s="142">
        <v>0.6</v>
      </c>
      <c r="BK15" s="205">
        <v>0.2</v>
      </c>
      <c r="BL15" s="170"/>
    </row>
    <row r="16" spans="1:64" x14ac:dyDescent="0.2">
      <c r="A16" s="91">
        <v>12</v>
      </c>
      <c r="B16" s="132" t="s">
        <v>27</v>
      </c>
      <c r="C16" s="155">
        <v>0</v>
      </c>
      <c r="D16" s="155">
        <v>0</v>
      </c>
      <c r="E16" s="155">
        <v>0</v>
      </c>
      <c r="F16" s="155">
        <v>10800</v>
      </c>
      <c r="G16" s="97"/>
      <c r="H16" s="97"/>
      <c r="I16" s="164">
        <v>0</v>
      </c>
      <c r="J16" s="164"/>
      <c r="K16" s="165">
        <v>0</v>
      </c>
      <c r="L16" s="166">
        <v>1.08</v>
      </c>
      <c r="M16" s="118">
        <v>1.05</v>
      </c>
      <c r="N16" s="133">
        <v>7090</v>
      </c>
      <c r="O16" s="133">
        <v>7177</v>
      </c>
      <c r="P16" s="167">
        <v>1136.79</v>
      </c>
      <c r="Q16" s="133">
        <v>0</v>
      </c>
      <c r="R16" s="168">
        <v>0</v>
      </c>
      <c r="S16" s="169">
        <v>739.52706000000001</v>
      </c>
      <c r="T16" s="135">
        <v>657</v>
      </c>
      <c r="U16" s="97">
        <v>10</v>
      </c>
      <c r="V16" s="139">
        <v>1.01</v>
      </c>
      <c r="W16" s="136">
        <v>300806.75</v>
      </c>
      <c r="X16" s="123">
        <v>1434226.55</v>
      </c>
      <c r="Y16" s="137">
        <v>655020.4</v>
      </c>
      <c r="Z16" s="123">
        <v>2871.6955374160502</v>
      </c>
      <c r="AA16" s="123">
        <v>82.734191819464044</v>
      </c>
      <c r="AB16" s="123">
        <v>68.278159379407626</v>
      </c>
      <c r="AC16" s="123">
        <v>160.84874078482568</v>
      </c>
      <c r="AD16" s="123">
        <v>110.43341325811002</v>
      </c>
      <c r="AE16" s="123">
        <v>164.637658674189</v>
      </c>
      <c r="AF16" s="122">
        <v>3458.6277013320459</v>
      </c>
      <c r="AG16" s="123">
        <v>2894.8378311354672</v>
      </c>
      <c r="AH16" s="123">
        <v>128.20652779712972</v>
      </c>
      <c r="AI16" s="123">
        <v>95.217974083879056</v>
      </c>
      <c r="AJ16" s="123">
        <v>162.11276760787257</v>
      </c>
      <c r="AK16" s="123">
        <v>155.065152570712</v>
      </c>
      <c r="AL16" s="123">
        <v>191.00036226835726</v>
      </c>
      <c r="AM16" s="122">
        <v>3626.440615463418</v>
      </c>
      <c r="AN16" s="138">
        <v>2883.266684275759</v>
      </c>
      <c r="AO16" s="139">
        <v>105.47035980829688</v>
      </c>
      <c r="AP16" s="140">
        <v>81.748066731643348</v>
      </c>
      <c r="AQ16" s="140">
        <v>161.48075419634912</v>
      </c>
      <c r="AR16" s="139">
        <v>132.74928291441103</v>
      </c>
      <c r="AS16" s="141">
        <v>177.81901047127315</v>
      </c>
      <c r="AT16" s="122">
        <v>3542.5341583977324</v>
      </c>
      <c r="AU16" s="136">
        <v>3432.7811739527956</v>
      </c>
      <c r="AV16" s="142">
        <v>0.96</v>
      </c>
      <c r="AW16" s="143">
        <v>-0.15986015257500097</v>
      </c>
      <c r="AX16" s="213">
        <v>-0.53233805339924445</v>
      </c>
      <c r="AY16" s="214">
        <v>-2.8943168829968974E-2</v>
      </c>
      <c r="AZ16" s="214">
        <v>-7.3800818973715016E-2</v>
      </c>
      <c r="BA16" s="214">
        <v>-4.3315792771954298E-2</v>
      </c>
      <c r="BB16" s="203">
        <v>1.1538861902446025</v>
      </c>
      <c r="BC16" s="139">
        <v>249</v>
      </c>
      <c r="BD16" s="204">
        <v>0.9</v>
      </c>
      <c r="BE16" s="139">
        <v>18729.907801024532</v>
      </c>
      <c r="BF16" s="139">
        <v>11000</v>
      </c>
      <c r="BG16" s="205">
        <v>0.65</v>
      </c>
      <c r="BH16" s="205">
        <v>0.65</v>
      </c>
      <c r="BI16" s="204">
        <v>0.2</v>
      </c>
      <c r="BJ16" s="142">
        <v>0.6</v>
      </c>
      <c r="BK16" s="205">
        <v>0.2</v>
      </c>
      <c r="BL16" s="170"/>
    </row>
    <row r="17" spans="1:64" x14ac:dyDescent="0.2">
      <c r="A17" s="91">
        <v>13</v>
      </c>
      <c r="B17" s="132" t="s">
        <v>28</v>
      </c>
      <c r="C17" s="155">
        <v>4555200</v>
      </c>
      <c r="D17" s="155">
        <v>0</v>
      </c>
      <c r="E17" s="155">
        <v>0</v>
      </c>
      <c r="F17" s="155">
        <v>1499400</v>
      </c>
      <c r="G17" s="97"/>
      <c r="H17" s="97"/>
      <c r="I17" s="164">
        <v>0</v>
      </c>
      <c r="J17" s="164"/>
      <c r="K17" s="165">
        <v>0</v>
      </c>
      <c r="L17" s="166">
        <v>1.49</v>
      </c>
      <c r="M17" s="118">
        <v>1.46</v>
      </c>
      <c r="N17" s="133">
        <v>9408</v>
      </c>
      <c r="O17" s="133">
        <v>9418</v>
      </c>
      <c r="P17" s="167">
        <v>1130.5289999999998</v>
      </c>
      <c r="Q17" s="133">
        <v>0</v>
      </c>
      <c r="R17" s="168">
        <v>0</v>
      </c>
      <c r="S17" s="169">
        <v>230.66874999999999</v>
      </c>
      <c r="T17" s="135">
        <v>983</v>
      </c>
      <c r="U17" s="97">
        <v>29</v>
      </c>
      <c r="V17" s="139">
        <v>1.2</v>
      </c>
      <c r="W17" s="136">
        <v>514619.75</v>
      </c>
      <c r="X17" s="123">
        <v>3544849.2699999996</v>
      </c>
      <c r="Y17" s="137">
        <v>1504733.6</v>
      </c>
      <c r="Z17" s="123">
        <v>1844.1800540307297</v>
      </c>
      <c r="AA17" s="123">
        <v>222.45729804421768</v>
      </c>
      <c r="AB17" s="123">
        <v>323.65138711734693</v>
      </c>
      <c r="AC17" s="123">
        <v>142.32158620965347</v>
      </c>
      <c r="AD17" s="123">
        <v>109.5490593112245</v>
      </c>
      <c r="AE17" s="123">
        <v>118.43123937074832</v>
      </c>
      <c r="AF17" s="122">
        <v>2760.5906240839208</v>
      </c>
      <c r="AG17" s="123">
        <v>1880.601109614636</v>
      </c>
      <c r="AH17" s="123">
        <v>249.65757060947132</v>
      </c>
      <c r="AI17" s="123">
        <v>370.93501805054154</v>
      </c>
      <c r="AJ17" s="123">
        <v>146.94018522556536</v>
      </c>
      <c r="AK17" s="123">
        <v>124.33676470588235</v>
      </c>
      <c r="AL17" s="123">
        <v>89.520699723932907</v>
      </c>
      <c r="AM17" s="122">
        <v>2861.9913479300294</v>
      </c>
      <c r="AN17" s="138">
        <v>1862.3905818226829</v>
      </c>
      <c r="AO17" s="139">
        <v>236.05743432684449</v>
      </c>
      <c r="AP17" s="140">
        <v>347.29320258394421</v>
      </c>
      <c r="AQ17" s="140">
        <v>144.63088571760943</v>
      </c>
      <c r="AR17" s="139">
        <v>116.94291200855342</v>
      </c>
      <c r="AS17" s="141">
        <v>103.97596954734061</v>
      </c>
      <c r="AT17" s="122">
        <v>2811.2909860069753</v>
      </c>
      <c r="AU17" s="136">
        <v>3432.7811739527956</v>
      </c>
      <c r="AV17" s="142">
        <v>0.96</v>
      </c>
      <c r="AW17" s="143">
        <v>0</v>
      </c>
      <c r="AX17" s="213">
        <v>-0.76251445308389387</v>
      </c>
      <c r="AY17" s="214">
        <v>-2.8943168829968974E-2</v>
      </c>
      <c r="AZ17" s="214">
        <v>-7.3800818973715016E-2</v>
      </c>
      <c r="BA17" s="214">
        <v>-5.504689923445253E-2</v>
      </c>
      <c r="BB17" s="203">
        <v>1.1538861902446025</v>
      </c>
      <c r="BC17" s="139">
        <v>249</v>
      </c>
      <c r="BD17" s="204">
        <v>0.9</v>
      </c>
      <c r="BE17" s="139">
        <v>18729.907801024532</v>
      </c>
      <c r="BF17" s="139">
        <v>11000</v>
      </c>
      <c r="BG17" s="205">
        <v>0.65</v>
      </c>
      <c r="BH17" s="205">
        <v>0.65</v>
      </c>
      <c r="BI17" s="204">
        <v>0.2</v>
      </c>
      <c r="BJ17" s="142">
        <v>0.6</v>
      </c>
      <c r="BK17" s="205">
        <v>0.2</v>
      </c>
      <c r="BL17" s="170"/>
    </row>
    <row r="18" spans="1:64" x14ac:dyDescent="0.2">
      <c r="A18" s="91">
        <v>14</v>
      </c>
      <c r="B18" s="132" t="s">
        <v>29</v>
      </c>
      <c r="C18" s="155">
        <v>0</v>
      </c>
      <c r="D18" s="155">
        <v>0</v>
      </c>
      <c r="E18" s="155">
        <v>0</v>
      </c>
      <c r="F18" s="155">
        <v>0</v>
      </c>
      <c r="G18" s="97"/>
      <c r="H18" s="97"/>
      <c r="I18" s="164">
        <v>0</v>
      </c>
      <c r="J18" s="164"/>
      <c r="K18" s="165">
        <v>0</v>
      </c>
      <c r="L18" s="166">
        <v>1.1399999999999999</v>
      </c>
      <c r="M18" s="118">
        <v>1.0900000000000001</v>
      </c>
      <c r="N18" s="133">
        <v>6396</v>
      </c>
      <c r="O18" s="133">
        <v>6480</v>
      </c>
      <c r="P18" s="167">
        <v>1427.17</v>
      </c>
      <c r="Q18" s="133">
        <v>0</v>
      </c>
      <c r="R18" s="168">
        <v>0</v>
      </c>
      <c r="S18" s="169">
        <v>1061.3524600000001</v>
      </c>
      <c r="T18" s="135">
        <v>666</v>
      </c>
      <c r="U18" s="97">
        <v>14</v>
      </c>
      <c r="V18" s="139">
        <v>0.98</v>
      </c>
      <c r="W18" s="136">
        <v>93721</v>
      </c>
      <c r="X18" s="123">
        <v>806500.69</v>
      </c>
      <c r="Y18" s="137">
        <v>611038</v>
      </c>
      <c r="Z18" s="123">
        <v>2773.1086255455425</v>
      </c>
      <c r="AA18" s="123">
        <v>347.31369449656046</v>
      </c>
      <c r="AB18" s="123">
        <v>432.02768136335214</v>
      </c>
      <c r="AC18" s="123">
        <v>197.43182198578347</v>
      </c>
      <c r="AD18" s="123">
        <v>134.10354909318323</v>
      </c>
      <c r="AE18" s="123">
        <v>170.62947936210131</v>
      </c>
      <c r="AF18" s="122">
        <v>4054.6148518465234</v>
      </c>
      <c r="AG18" s="123">
        <v>2749.1028428733352</v>
      </c>
      <c r="AH18" s="123">
        <v>317.72064043209878</v>
      </c>
      <c r="AI18" s="123">
        <v>519.57259259259263</v>
      </c>
      <c r="AJ18" s="123">
        <v>197.8689899708157</v>
      </c>
      <c r="AK18" s="123">
        <v>136.11500771604938</v>
      </c>
      <c r="AL18" s="123">
        <v>160.64680555555555</v>
      </c>
      <c r="AM18" s="122">
        <v>4081.0268791404474</v>
      </c>
      <c r="AN18" s="138">
        <v>2761.1057342094391</v>
      </c>
      <c r="AO18" s="139">
        <v>332.51716746432965</v>
      </c>
      <c r="AP18" s="140">
        <v>475.80013697797239</v>
      </c>
      <c r="AQ18" s="140">
        <v>197.6504059782996</v>
      </c>
      <c r="AR18" s="139">
        <v>135.1092784046163</v>
      </c>
      <c r="AS18" s="141">
        <v>165.63814245882844</v>
      </c>
      <c r="AT18" s="122">
        <v>4067.8208654934856</v>
      </c>
      <c r="AU18" s="136">
        <v>3432.7811739527956</v>
      </c>
      <c r="AV18" s="142">
        <v>0.96</v>
      </c>
      <c r="AW18" s="143">
        <v>-0.92496384033919021</v>
      </c>
      <c r="AX18" s="213">
        <v>-0.16116361855596098</v>
      </c>
      <c r="AY18" s="214">
        <v>-2.8943168829968974E-2</v>
      </c>
      <c r="AZ18" s="214">
        <v>-7.3800818973715016E-2</v>
      </c>
      <c r="BA18" s="214">
        <v>-3.4243257934775138E-2</v>
      </c>
      <c r="BB18" s="203">
        <v>1.1538861902446025</v>
      </c>
      <c r="BC18" s="139">
        <v>249</v>
      </c>
      <c r="BD18" s="204">
        <v>0.9</v>
      </c>
      <c r="BE18" s="139">
        <v>18729.907801024532</v>
      </c>
      <c r="BF18" s="139">
        <v>11000</v>
      </c>
      <c r="BG18" s="205">
        <v>0.65</v>
      </c>
      <c r="BH18" s="205">
        <v>0.65</v>
      </c>
      <c r="BI18" s="204">
        <v>0.2</v>
      </c>
      <c r="BJ18" s="142">
        <v>0.6</v>
      </c>
      <c r="BK18" s="205">
        <v>0.2</v>
      </c>
      <c r="BL18" s="170"/>
    </row>
    <row r="19" spans="1:64" x14ac:dyDescent="0.2">
      <c r="A19" s="91">
        <v>15</v>
      </c>
      <c r="B19" s="132" t="s">
        <v>30</v>
      </c>
      <c r="C19" s="155">
        <v>1445100</v>
      </c>
      <c r="D19" s="155">
        <v>0</v>
      </c>
      <c r="E19" s="155">
        <v>0</v>
      </c>
      <c r="F19" s="155">
        <v>148100</v>
      </c>
      <c r="G19" s="97"/>
      <c r="H19" s="97"/>
      <c r="I19" s="164">
        <v>0</v>
      </c>
      <c r="J19" s="164"/>
      <c r="K19" s="165">
        <v>0</v>
      </c>
      <c r="L19" s="166">
        <v>1.34</v>
      </c>
      <c r="M19" s="118">
        <v>1.29</v>
      </c>
      <c r="N19" s="133">
        <v>3452</v>
      </c>
      <c r="O19" s="133">
        <v>3485</v>
      </c>
      <c r="P19" s="167">
        <v>574.55299999999988</v>
      </c>
      <c r="Q19" s="133">
        <v>0</v>
      </c>
      <c r="R19" s="168">
        <v>0</v>
      </c>
      <c r="S19" s="169">
        <v>220.49409999999997</v>
      </c>
      <c r="T19" s="135">
        <v>316</v>
      </c>
      <c r="U19" s="97">
        <v>7</v>
      </c>
      <c r="V19" s="139">
        <v>1.04</v>
      </c>
      <c r="W19" s="136">
        <v>136428.5</v>
      </c>
      <c r="X19" s="123">
        <v>762252</v>
      </c>
      <c r="Y19" s="137">
        <v>603371.44999999995</v>
      </c>
      <c r="Z19" s="123">
        <v>2090.3346058218394</v>
      </c>
      <c r="AA19" s="123">
        <v>154.84305330243336</v>
      </c>
      <c r="AB19" s="123">
        <v>279.88626882966395</v>
      </c>
      <c r="AC19" s="123">
        <v>145.77210874312698</v>
      </c>
      <c r="AD19" s="123">
        <v>113.85602549246813</v>
      </c>
      <c r="AE19" s="123">
        <v>83.752274044032461</v>
      </c>
      <c r="AF19" s="122">
        <v>2868.4443362335646</v>
      </c>
      <c r="AG19" s="123">
        <v>2187.3301517408859</v>
      </c>
      <c r="AH19" s="123">
        <v>149.22109038737449</v>
      </c>
      <c r="AI19" s="123">
        <v>305.30830703012913</v>
      </c>
      <c r="AJ19" s="123">
        <v>154.78850897083956</v>
      </c>
      <c r="AK19" s="123">
        <v>82.335437589670008</v>
      </c>
      <c r="AL19" s="123">
        <v>6.2806456241033004</v>
      </c>
      <c r="AM19" s="122">
        <v>2885.2641413430024</v>
      </c>
      <c r="AN19" s="138">
        <v>2138.8323787813624</v>
      </c>
      <c r="AO19" s="139">
        <v>152.03207184490392</v>
      </c>
      <c r="AP19" s="140">
        <v>292.59728792989654</v>
      </c>
      <c r="AQ19" s="140">
        <v>150.28030885698325</v>
      </c>
      <c r="AR19" s="139">
        <v>98.095731541069071</v>
      </c>
      <c r="AS19" s="141">
        <v>45.016459834067881</v>
      </c>
      <c r="AT19" s="122">
        <v>2876.8542387882831</v>
      </c>
      <c r="AU19" s="136">
        <v>3432.7811739527956</v>
      </c>
      <c r="AV19" s="142">
        <v>0.96</v>
      </c>
      <c r="AW19" s="143">
        <v>0</v>
      </c>
      <c r="AX19" s="213">
        <v>-0.49350301570989635</v>
      </c>
      <c r="AY19" s="214">
        <v>-2.8943168829968974E-2</v>
      </c>
      <c r="AZ19" s="214">
        <v>-7.3800818973715016E-2</v>
      </c>
      <c r="BA19" s="214">
        <v>-4.9255619743248484E-2</v>
      </c>
      <c r="BB19" s="203">
        <v>1.1538861902446025</v>
      </c>
      <c r="BC19" s="139">
        <v>249</v>
      </c>
      <c r="BD19" s="204">
        <v>0.9</v>
      </c>
      <c r="BE19" s="139">
        <v>18729.907801024532</v>
      </c>
      <c r="BF19" s="139">
        <v>11000</v>
      </c>
      <c r="BG19" s="205">
        <v>0.65</v>
      </c>
      <c r="BH19" s="205">
        <v>0.65</v>
      </c>
      <c r="BI19" s="204">
        <v>0.2</v>
      </c>
      <c r="BJ19" s="142">
        <v>0.6</v>
      </c>
      <c r="BK19" s="205">
        <v>0.2</v>
      </c>
      <c r="BL19" s="170"/>
    </row>
    <row r="20" spans="1:64" x14ac:dyDescent="0.2">
      <c r="A20" s="91">
        <v>16</v>
      </c>
      <c r="B20" s="132" t="s">
        <v>31</v>
      </c>
      <c r="C20" s="155">
        <v>3676700</v>
      </c>
      <c r="D20" s="155">
        <v>0</v>
      </c>
      <c r="E20" s="155">
        <v>0</v>
      </c>
      <c r="F20" s="155">
        <v>11000</v>
      </c>
      <c r="G20" s="97"/>
      <c r="H20" s="97"/>
      <c r="I20" s="164">
        <v>0</v>
      </c>
      <c r="J20" s="164"/>
      <c r="K20" s="165">
        <v>0</v>
      </c>
      <c r="L20" s="166">
        <v>1.32</v>
      </c>
      <c r="M20" s="118">
        <v>1.27</v>
      </c>
      <c r="N20" s="133">
        <v>5841</v>
      </c>
      <c r="O20" s="133">
        <v>5889</v>
      </c>
      <c r="P20" s="167">
        <v>1022.252</v>
      </c>
      <c r="Q20" s="133">
        <v>0</v>
      </c>
      <c r="R20" s="168">
        <v>0</v>
      </c>
      <c r="S20" s="169">
        <v>686.86050999999998</v>
      </c>
      <c r="T20" s="135">
        <v>625</v>
      </c>
      <c r="U20" s="97">
        <v>17</v>
      </c>
      <c r="V20" s="139">
        <v>1.08</v>
      </c>
      <c r="W20" s="136">
        <v>275661.5</v>
      </c>
      <c r="X20" s="123">
        <v>1126570.67</v>
      </c>
      <c r="Y20" s="137">
        <v>594077.29999999993</v>
      </c>
      <c r="Z20" s="123">
        <v>1711.6343663316175</v>
      </c>
      <c r="AA20" s="123">
        <v>269.97617188837529</v>
      </c>
      <c r="AB20" s="123">
        <v>312.98295668549906</v>
      </c>
      <c r="AC20" s="123">
        <v>159.28889778525681</v>
      </c>
      <c r="AD20" s="123">
        <v>93.939950350967294</v>
      </c>
      <c r="AE20" s="123">
        <v>63.373822975517889</v>
      </c>
      <c r="AF20" s="122">
        <v>2611.1961660172333</v>
      </c>
      <c r="AG20" s="123">
        <v>1800.8711304553628</v>
      </c>
      <c r="AH20" s="123">
        <v>293.06335540838853</v>
      </c>
      <c r="AI20" s="123">
        <v>225.14374257089489</v>
      </c>
      <c r="AJ20" s="123">
        <v>163.24614307191803</v>
      </c>
      <c r="AK20" s="123">
        <v>127.97416369502461</v>
      </c>
      <c r="AL20" s="123">
        <v>110.51946001018848</v>
      </c>
      <c r="AM20" s="122">
        <v>2720.817995211778</v>
      </c>
      <c r="AN20" s="138">
        <v>1756.25274839349</v>
      </c>
      <c r="AO20" s="139">
        <v>281.51976364838191</v>
      </c>
      <c r="AP20" s="140">
        <v>269.06334962819699</v>
      </c>
      <c r="AQ20" s="140">
        <v>161.26752042858743</v>
      </c>
      <c r="AR20" s="139">
        <v>110.95705702299595</v>
      </c>
      <c r="AS20" s="141">
        <v>86.946641492853189</v>
      </c>
      <c r="AT20" s="122">
        <v>2666.0070806145054</v>
      </c>
      <c r="AU20" s="136">
        <v>3432.7811739527956</v>
      </c>
      <c r="AV20" s="142">
        <v>0.96</v>
      </c>
      <c r="AW20" s="143">
        <v>0</v>
      </c>
      <c r="AX20" s="213">
        <v>-0.44115875953772488</v>
      </c>
      <c r="AY20" s="214">
        <v>-2.8943168829968974E-2</v>
      </c>
      <c r="AZ20" s="214">
        <v>-7.3800818973715016E-2</v>
      </c>
      <c r="BA20" s="214">
        <v>-4.1285672910077995E-2</v>
      </c>
      <c r="BB20" s="203">
        <v>1.1538861902446025</v>
      </c>
      <c r="BC20" s="139">
        <v>249</v>
      </c>
      <c r="BD20" s="204">
        <v>0.9</v>
      </c>
      <c r="BE20" s="139">
        <v>18729.907801024532</v>
      </c>
      <c r="BF20" s="139">
        <v>11000</v>
      </c>
      <c r="BG20" s="205">
        <v>0.65</v>
      </c>
      <c r="BH20" s="205">
        <v>0.65</v>
      </c>
      <c r="BI20" s="204">
        <v>0.2</v>
      </c>
      <c r="BJ20" s="142">
        <v>0.6</v>
      </c>
      <c r="BK20" s="205">
        <v>0.2</v>
      </c>
      <c r="BL20" s="170"/>
    </row>
    <row r="21" spans="1:64" x14ac:dyDescent="0.2">
      <c r="A21" s="91">
        <v>17</v>
      </c>
      <c r="B21" s="132" t="s">
        <v>32</v>
      </c>
      <c r="C21" s="155">
        <v>0</v>
      </c>
      <c r="D21" s="155">
        <v>0</v>
      </c>
      <c r="E21" s="155">
        <v>0</v>
      </c>
      <c r="F21" s="155">
        <v>22600</v>
      </c>
      <c r="G21" s="97"/>
      <c r="H21" s="97"/>
      <c r="I21" s="164">
        <v>0</v>
      </c>
      <c r="J21" s="164"/>
      <c r="K21" s="165">
        <v>0</v>
      </c>
      <c r="L21" s="166">
        <v>0.95</v>
      </c>
      <c r="M21" s="118">
        <v>0.95</v>
      </c>
      <c r="N21" s="133">
        <v>7541</v>
      </c>
      <c r="O21" s="133">
        <v>7622</v>
      </c>
      <c r="P21" s="167">
        <v>1065.2180000000001</v>
      </c>
      <c r="Q21" s="133">
        <v>0</v>
      </c>
      <c r="R21" s="168">
        <v>0</v>
      </c>
      <c r="S21" s="169">
        <v>465.38316000000003</v>
      </c>
      <c r="T21" s="135">
        <v>779</v>
      </c>
      <c r="U21" s="97">
        <v>14</v>
      </c>
      <c r="V21" s="139">
        <v>1.02</v>
      </c>
      <c r="W21" s="136">
        <v>347646.85000000003</v>
      </c>
      <c r="X21" s="123">
        <v>1453987.45</v>
      </c>
      <c r="Y21" s="137">
        <v>842597.25</v>
      </c>
      <c r="Z21" s="123">
        <v>2668.4917672259867</v>
      </c>
      <c r="AA21" s="123">
        <v>417.0846465985943</v>
      </c>
      <c r="AB21" s="123">
        <v>400.04065110728015</v>
      </c>
      <c r="AC21" s="123">
        <v>172.43947072912678</v>
      </c>
      <c r="AD21" s="123">
        <v>81.033072536798841</v>
      </c>
      <c r="AE21" s="123">
        <v>120.1394045882509</v>
      </c>
      <c r="AF21" s="122">
        <v>3859.2290127860374</v>
      </c>
      <c r="AG21" s="123">
        <v>2652.944606868954</v>
      </c>
      <c r="AH21" s="123">
        <v>416.16866570453948</v>
      </c>
      <c r="AI21" s="123">
        <v>522.86597349776957</v>
      </c>
      <c r="AJ21" s="123">
        <v>174.08313440900085</v>
      </c>
      <c r="AK21" s="123">
        <v>125.87490816058778</v>
      </c>
      <c r="AL21" s="123">
        <v>102.61410390973496</v>
      </c>
      <c r="AM21" s="122">
        <v>3994.5513925505866</v>
      </c>
      <c r="AN21" s="138">
        <v>2660.7181870474706</v>
      </c>
      <c r="AO21" s="139">
        <v>416.62665615156686</v>
      </c>
      <c r="AP21" s="140">
        <v>461.45331230252486</v>
      </c>
      <c r="AQ21" s="140">
        <v>173.26130256906382</v>
      </c>
      <c r="AR21" s="139">
        <v>103.45399034869331</v>
      </c>
      <c r="AS21" s="141">
        <v>111.37675424899294</v>
      </c>
      <c r="AT21" s="122">
        <v>3926.8902026683127</v>
      </c>
      <c r="AU21" s="136">
        <v>3432.7811739527956</v>
      </c>
      <c r="AV21" s="142">
        <v>0.96</v>
      </c>
      <c r="AW21" s="143">
        <v>-0.71969199852398136</v>
      </c>
      <c r="AX21" s="213">
        <v>-0.64418927696921402</v>
      </c>
      <c r="AY21" s="214">
        <v>-2.8943168829968974E-2</v>
      </c>
      <c r="AZ21" s="214">
        <v>-7.3800818973715016E-2</v>
      </c>
      <c r="BA21" s="214">
        <v>-4.9585915678734417E-2</v>
      </c>
      <c r="BB21" s="203">
        <v>1.1538861902446025</v>
      </c>
      <c r="BC21" s="139">
        <v>249</v>
      </c>
      <c r="BD21" s="204">
        <v>0.9</v>
      </c>
      <c r="BE21" s="139">
        <v>18729.907801024532</v>
      </c>
      <c r="BF21" s="139">
        <v>11000</v>
      </c>
      <c r="BG21" s="205">
        <v>0.65</v>
      </c>
      <c r="BH21" s="205">
        <v>0.65</v>
      </c>
      <c r="BI21" s="204">
        <v>0.2</v>
      </c>
      <c r="BJ21" s="142">
        <v>0.6</v>
      </c>
      <c r="BK21" s="205">
        <v>0.2</v>
      </c>
      <c r="BL21" s="170"/>
    </row>
    <row r="22" spans="1:64" x14ac:dyDescent="0.2">
      <c r="A22" s="91">
        <v>18</v>
      </c>
      <c r="B22" s="132" t="s">
        <v>33</v>
      </c>
      <c r="C22" s="155">
        <v>0</v>
      </c>
      <c r="D22" s="155">
        <v>0</v>
      </c>
      <c r="E22" s="155">
        <v>85900</v>
      </c>
      <c r="F22" s="155">
        <v>0</v>
      </c>
      <c r="G22" s="97"/>
      <c r="H22" s="97"/>
      <c r="I22" s="164">
        <v>0</v>
      </c>
      <c r="J22" s="164"/>
      <c r="K22" s="165">
        <v>0</v>
      </c>
      <c r="L22" s="166">
        <v>0.92</v>
      </c>
      <c r="M22" s="118">
        <v>0.92</v>
      </c>
      <c r="N22" s="133">
        <v>3956</v>
      </c>
      <c r="O22" s="133">
        <v>3956</v>
      </c>
      <c r="P22" s="167">
        <v>834.92039999999997</v>
      </c>
      <c r="Q22" s="133">
        <v>0</v>
      </c>
      <c r="R22" s="168">
        <v>0</v>
      </c>
      <c r="S22" s="169">
        <v>562.10793999999999</v>
      </c>
      <c r="T22" s="135">
        <v>456</v>
      </c>
      <c r="U22" s="97">
        <v>12</v>
      </c>
      <c r="V22" s="139">
        <v>0.9</v>
      </c>
      <c r="W22" s="136">
        <v>33751.599999999999</v>
      </c>
      <c r="X22" s="123">
        <v>334688.81000000006</v>
      </c>
      <c r="Y22" s="137">
        <v>557910.65</v>
      </c>
      <c r="Z22" s="123">
        <v>2914.7141832241164</v>
      </c>
      <c r="AA22" s="123">
        <v>177.84399140546006</v>
      </c>
      <c r="AB22" s="123">
        <v>340.28201466127399</v>
      </c>
      <c r="AC22" s="123">
        <v>171.65574226136061</v>
      </c>
      <c r="AD22" s="123">
        <v>48.742997977755309</v>
      </c>
      <c r="AE22" s="123">
        <v>99.377641557128399</v>
      </c>
      <c r="AF22" s="122">
        <v>3752.6165710870946</v>
      </c>
      <c r="AG22" s="123">
        <v>2920.649225568638</v>
      </c>
      <c r="AH22" s="123">
        <v>181.08306370070781</v>
      </c>
      <c r="AI22" s="123">
        <v>309.22454499494438</v>
      </c>
      <c r="AJ22" s="123">
        <v>177.61671061569518</v>
      </c>
      <c r="AK22" s="123">
        <v>58.829095045500502</v>
      </c>
      <c r="AL22" s="123">
        <v>148.87392568250758</v>
      </c>
      <c r="AM22" s="122">
        <v>3796.2765656079941</v>
      </c>
      <c r="AN22" s="138">
        <v>2917.6817043963774</v>
      </c>
      <c r="AO22" s="139">
        <v>179.46352755308394</v>
      </c>
      <c r="AP22" s="140">
        <v>324.75327982810916</v>
      </c>
      <c r="AQ22" s="140">
        <v>174.6362264385279</v>
      </c>
      <c r="AR22" s="139">
        <v>53.786046511627902</v>
      </c>
      <c r="AS22" s="141">
        <v>124.12578361981798</v>
      </c>
      <c r="AT22" s="122">
        <v>3774.4465683475441</v>
      </c>
      <c r="AU22" s="136">
        <v>3432.7811739527956</v>
      </c>
      <c r="AV22" s="142">
        <v>0.96</v>
      </c>
      <c r="AW22" s="143">
        <v>-0.49765099649699779</v>
      </c>
      <c r="AX22" s="213">
        <v>-0.21631943866927067</v>
      </c>
      <c r="AY22" s="214">
        <v>-2.8943168829968974E-2</v>
      </c>
      <c r="AZ22" s="214">
        <v>-7.3800818973715016E-2</v>
      </c>
      <c r="BA22" s="214">
        <v>-3.7483952984804364E-2</v>
      </c>
      <c r="BB22" s="203">
        <v>1.1538861902446025</v>
      </c>
      <c r="BC22" s="139">
        <v>249</v>
      </c>
      <c r="BD22" s="204">
        <v>0.9</v>
      </c>
      <c r="BE22" s="139">
        <v>18729.907801024532</v>
      </c>
      <c r="BF22" s="139">
        <v>11000</v>
      </c>
      <c r="BG22" s="205">
        <v>0.65</v>
      </c>
      <c r="BH22" s="205">
        <v>0.65</v>
      </c>
      <c r="BI22" s="204">
        <v>0.2</v>
      </c>
      <c r="BJ22" s="142">
        <v>0.6</v>
      </c>
      <c r="BK22" s="205">
        <v>0.2</v>
      </c>
      <c r="BL22" s="170"/>
    </row>
    <row r="23" spans="1:64" x14ac:dyDescent="0.2">
      <c r="A23" s="91">
        <v>19</v>
      </c>
      <c r="B23" s="132" t="s">
        <v>34</v>
      </c>
      <c r="C23" s="155">
        <v>0</v>
      </c>
      <c r="D23" s="155">
        <v>0</v>
      </c>
      <c r="E23" s="155">
        <v>0</v>
      </c>
      <c r="F23" s="155">
        <v>0</v>
      </c>
      <c r="G23" s="97"/>
      <c r="H23" s="97"/>
      <c r="I23" s="164">
        <v>0</v>
      </c>
      <c r="J23" s="164"/>
      <c r="K23" s="165">
        <v>0</v>
      </c>
      <c r="L23" s="166">
        <v>0.8</v>
      </c>
      <c r="M23" s="118">
        <v>0.8</v>
      </c>
      <c r="N23" s="133">
        <v>4598</v>
      </c>
      <c r="O23" s="133">
        <v>4650</v>
      </c>
      <c r="P23" s="167">
        <v>791.43500000000006</v>
      </c>
      <c r="Q23" s="133">
        <v>0</v>
      </c>
      <c r="R23" s="168">
        <v>0</v>
      </c>
      <c r="S23" s="169">
        <v>652.02472999999998</v>
      </c>
      <c r="T23" s="135">
        <v>493</v>
      </c>
      <c r="U23" s="97">
        <v>6</v>
      </c>
      <c r="V23" s="139">
        <v>0.93</v>
      </c>
      <c r="W23" s="136">
        <v>0</v>
      </c>
      <c r="X23" s="123">
        <v>243215.51</v>
      </c>
      <c r="Y23" s="137">
        <v>553357.19999999995</v>
      </c>
      <c r="Z23" s="123">
        <v>2975.6498400750506</v>
      </c>
      <c r="AA23" s="123">
        <v>538.72371900826442</v>
      </c>
      <c r="AB23" s="123">
        <v>731.69547629404087</v>
      </c>
      <c r="AC23" s="123">
        <v>193.95338553213438</v>
      </c>
      <c r="AD23" s="123">
        <v>240.9984341017834</v>
      </c>
      <c r="AE23" s="123">
        <v>287.51152675076122</v>
      </c>
      <c r="AF23" s="122">
        <v>4968.5323817620338</v>
      </c>
      <c r="AG23" s="123">
        <v>3095.7085789346811</v>
      </c>
      <c r="AH23" s="123">
        <v>506.23168817204305</v>
      </c>
      <c r="AI23" s="123">
        <v>827.52179569892485</v>
      </c>
      <c r="AJ23" s="123">
        <v>201.35051918435119</v>
      </c>
      <c r="AK23" s="123">
        <v>115.38868817204302</v>
      </c>
      <c r="AL23" s="123">
        <v>123.95064516129032</v>
      </c>
      <c r="AM23" s="122">
        <v>4870.1519153233339</v>
      </c>
      <c r="AN23" s="138">
        <v>3035.6792095048659</v>
      </c>
      <c r="AO23" s="139">
        <v>522.47770359015374</v>
      </c>
      <c r="AP23" s="140">
        <v>779.60863599648292</v>
      </c>
      <c r="AQ23" s="140">
        <v>197.6519523582428</v>
      </c>
      <c r="AR23" s="139">
        <v>178.19356113691322</v>
      </c>
      <c r="AS23" s="141">
        <v>205.73108595602577</v>
      </c>
      <c r="AT23" s="122">
        <v>4919.3421485426843</v>
      </c>
      <c r="AU23" s="136">
        <v>3432.7811739527956</v>
      </c>
      <c r="AV23" s="142">
        <v>0.96</v>
      </c>
      <c r="AW23" s="143">
        <v>-1</v>
      </c>
      <c r="AX23" s="213">
        <v>-0.46147689731852054</v>
      </c>
      <c r="AY23" s="214">
        <v>-2.8943168829968974E-2</v>
      </c>
      <c r="AZ23" s="214">
        <v>-7.3800818973715016E-2</v>
      </c>
      <c r="BA23" s="214">
        <v>-3.7763173976199285E-2</v>
      </c>
      <c r="BB23" s="203">
        <v>1.1538861902446025</v>
      </c>
      <c r="BC23" s="139">
        <v>249</v>
      </c>
      <c r="BD23" s="204">
        <v>0.9</v>
      </c>
      <c r="BE23" s="139">
        <v>18729.907801024532</v>
      </c>
      <c r="BF23" s="139">
        <v>11000</v>
      </c>
      <c r="BG23" s="205">
        <v>0.65</v>
      </c>
      <c r="BH23" s="205">
        <v>0.65</v>
      </c>
      <c r="BI23" s="204">
        <v>0.2</v>
      </c>
      <c r="BJ23" s="142">
        <v>0.6</v>
      </c>
      <c r="BK23" s="205">
        <v>0.2</v>
      </c>
      <c r="BL23" s="170"/>
    </row>
    <row r="24" spans="1:64" x14ac:dyDescent="0.2">
      <c r="A24" s="91">
        <v>20</v>
      </c>
      <c r="B24" s="132" t="s">
        <v>35</v>
      </c>
      <c r="C24" s="155">
        <v>0</v>
      </c>
      <c r="D24" s="155">
        <v>0</v>
      </c>
      <c r="E24" s="155">
        <v>800800</v>
      </c>
      <c r="F24" s="155">
        <v>0</v>
      </c>
      <c r="G24" s="97"/>
      <c r="H24" s="97"/>
      <c r="I24" s="164">
        <v>0</v>
      </c>
      <c r="J24" s="164"/>
      <c r="K24" s="165">
        <v>0</v>
      </c>
      <c r="L24" s="166">
        <v>0.89</v>
      </c>
      <c r="M24" s="118">
        <v>0.89</v>
      </c>
      <c r="N24" s="133">
        <v>6456</v>
      </c>
      <c r="O24" s="133">
        <v>6502</v>
      </c>
      <c r="P24" s="167">
        <v>1160.7860000000001</v>
      </c>
      <c r="Q24" s="133">
        <v>0</v>
      </c>
      <c r="R24" s="168">
        <v>0</v>
      </c>
      <c r="S24" s="169">
        <v>1124.5537000000002</v>
      </c>
      <c r="T24" s="135">
        <v>817</v>
      </c>
      <c r="U24" s="97">
        <v>13</v>
      </c>
      <c r="V24" s="139">
        <v>0.92</v>
      </c>
      <c r="W24" s="136">
        <v>47346.2</v>
      </c>
      <c r="X24" s="123">
        <v>236058.91999999998</v>
      </c>
      <c r="Y24" s="137">
        <v>564193</v>
      </c>
      <c r="Z24" s="123">
        <v>2510.1917969653955</v>
      </c>
      <c r="AA24" s="123">
        <v>353.55782837670387</v>
      </c>
      <c r="AB24" s="123">
        <v>283.78886307311029</v>
      </c>
      <c r="AC24" s="123">
        <v>165.81915796266586</v>
      </c>
      <c r="AD24" s="123">
        <v>96.88214838909542</v>
      </c>
      <c r="AE24" s="123">
        <v>129.58485130111524</v>
      </c>
      <c r="AF24" s="122">
        <v>3539.8246460680866</v>
      </c>
      <c r="AG24" s="123">
        <v>2655.5629722964113</v>
      </c>
      <c r="AH24" s="123">
        <v>322.16748692709933</v>
      </c>
      <c r="AI24" s="123">
        <v>272.52256228852661</v>
      </c>
      <c r="AJ24" s="123">
        <v>174.85476903061868</v>
      </c>
      <c r="AK24" s="123">
        <v>121.8709397108582</v>
      </c>
      <c r="AL24" s="123">
        <v>153.21731774838511</v>
      </c>
      <c r="AM24" s="122">
        <v>3700.1960480018988</v>
      </c>
      <c r="AN24" s="138">
        <v>2582.8773846309032</v>
      </c>
      <c r="AO24" s="139">
        <v>337.8626576519016</v>
      </c>
      <c r="AP24" s="140">
        <v>278.15571268081845</v>
      </c>
      <c r="AQ24" s="140">
        <v>170.33696349664228</v>
      </c>
      <c r="AR24" s="139">
        <v>109.37654404997681</v>
      </c>
      <c r="AS24" s="141">
        <v>141.40108452475016</v>
      </c>
      <c r="AT24" s="122">
        <v>3620.0103470349927</v>
      </c>
      <c r="AU24" s="136">
        <v>3432.7811739527956</v>
      </c>
      <c r="AV24" s="142">
        <v>0.96</v>
      </c>
      <c r="AW24" s="143">
        <v>-0.27270770199809391</v>
      </c>
      <c r="AX24" s="213">
        <v>-0.41150718267955938</v>
      </c>
      <c r="AY24" s="214">
        <v>-2.8943168829968974E-2</v>
      </c>
      <c r="AZ24" s="214">
        <v>-7.3800818973715016E-2</v>
      </c>
      <c r="BA24" s="214">
        <v>-3.287432361894433E-2</v>
      </c>
      <c r="BB24" s="203">
        <v>1.1538861902446025</v>
      </c>
      <c r="BC24" s="139">
        <v>249</v>
      </c>
      <c r="BD24" s="204">
        <v>0.9</v>
      </c>
      <c r="BE24" s="139">
        <v>18729.907801024532</v>
      </c>
      <c r="BF24" s="139">
        <v>11000</v>
      </c>
      <c r="BG24" s="205">
        <v>0.65</v>
      </c>
      <c r="BH24" s="205">
        <v>0.65</v>
      </c>
      <c r="BI24" s="204">
        <v>0.2</v>
      </c>
      <c r="BJ24" s="142">
        <v>0.6</v>
      </c>
      <c r="BK24" s="205">
        <v>0.2</v>
      </c>
      <c r="BL24" s="170"/>
    </row>
    <row r="25" spans="1:64" x14ac:dyDescent="0.2">
      <c r="A25" s="91">
        <v>21</v>
      </c>
      <c r="B25" s="132" t="s">
        <v>36</v>
      </c>
      <c r="C25" s="155">
        <v>0</v>
      </c>
      <c r="D25" s="155">
        <v>0</v>
      </c>
      <c r="E25" s="155">
        <v>227100</v>
      </c>
      <c r="F25" s="155">
        <v>0</v>
      </c>
      <c r="G25" s="97"/>
      <c r="H25" s="97"/>
      <c r="I25" s="164">
        <v>0</v>
      </c>
      <c r="J25" s="164"/>
      <c r="K25" s="165">
        <v>0</v>
      </c>
      <c r="L25" s="166">
        <v>0.98</v>
      </c>
      <c r="M25" s="118">
        <v>0.98</v>
      </c>
      <c r="N25" s="133">
        <v>9490</v>
      </c>
      <c r="O25" s="133">
        <v>9576</v>
      </c>
      <c r="P25" s="167">
        <v>1312.1909999999998</v>
      </c>
      <c r="Q25" s="133">
        <v>0</v>
      </c>
      <c r="R25" s="168">
        <v>0</v>
      </c>
      <c r="S25" s="169">
        <v>421.82522</v>
      </c>
      <c r="T25" s="135">
        <v>1089</v>
      </c>
      <c r="U25" s="97">
        <v>22</v>
      </c>
      <c r="V25" s="139">
        <v>0.95</v>
      </c>
      <c r="W25" s="136">
        <v>239401.5</v>
      </c>
      <c r="X25" s="123">
        <v>1326604.95</v>
      </c>
      <c r="Y25" s="137">
        <v>922697.4</v>
      </c>
      <c r="Z25" s="123">
        <v>2397.9008007900006</v>
      </c>
      <c r="AA25" s="123">
        <v>262.13721285563753</v>
      </c>
      <c r="AB25" s="123">
        <v>324.65505268703896</v>
      </c>
      <c r="AC25" s="123">
        <v>187.68360551835161</v>
      </c>
      <c r="AD25" s="123">
        <v>106.84700210748156</v>
      </c>
      <c r="AE25" s="123">
        <v>100.86697049525817</v>
      </c>
      <c r="AF25" s="122">
        <v>3380.0906444537686</v>
      </c>
      <c r="AG25" s="123">
        <v>2551.8866163919351</v>
      </c>
      <c r="AH25" s="123">
        <v>263.55996762740176</v>
      </c>
      <c r="AI25" s="123">
        <v>554.25487155388475</v>
      </c>
      <c r="AJ25" s="123">
        <v>194.2601185946219</v>
      </c>
      <c r="AK25" s="123">
        <v>132.70223997493733</v>
      </c>
      <c r="AL25" s="123">
        <v>145.68862259816208</v>
      </c>
      <c r="AM25" s="122">
        <v>3842.3524367409427</v>
      </c>
      <c r="AN25" s="138">
        <v>2474.8937085909679</v>
      </c>
      <c r="AO25" s="139">
        <v>262.84859024151967</v>
      </c>
      <c r="AP25" s="140">
        <v>439.45496212046186</v>
      </c>
      <c r="AQ25" s="140">
        <v>190.97186205648677</v>
      </c>
      <c r="AR25" s="139">
        <v>119.77462104120944</v>
      </c>
      <c r="AS25" s="141">
        <v>123.27779654671014</v>
      </c>
      <c r="AT25" s="122">
        <v>3611.2215405973557</v>
      </c>
      <c r="AU25" s="136">
        <v>3432.7811739527956</v>
      </c>
      <c r="AV25" s="142">
        <v>0.96</v>
      </c>
      <c r="AW25" s="143">
        <v>-0.25990641057829</v>
      </c>
      <c r="AX25" s="213">
        <v>-0.66055230548422483</v>
      </c>
      <c r="AY25" s="214">
        <v>-2.8943168829968974E-2</v>
      </c>
      <c r="AZ25" s="214">
        <v>-7.3800818973715016E-2</v>
      </c>
      <c r="BA25" s="214">
        <v>-5.2125966864719014E-2</v>
      </c>
      <c r="BB25" s="203">
        <v>1.1538861902446025</v>
      </c>
      <c r="BC25" s="139">
        <v>249</v>
      </c>
      <c r="BD25" s="204">
        <v>0.9</v>
      </c>
      <c r="BE25" s="139">
        <v>18729.907801024532</v>
      </c>
      <c r="BF25" s="139">
        <v>11000</v>
      </c>
      <c r="BG25" s="205">
        <v>0.65</v>
      </c>
      <c r="BH25" s="205">
        <v>0.65</v>
      </c>
      <c r="BI25" s="204">
        <v>0.2</v>
      </c>
      <c r="BJ25" s="142">
        <v>0.6</v>
      </c>
      <c r="BK25" s="205">
        <v>0.2</v>
      </c>
      <c r="BL25" s="170"/>
    </row>
    <row r="26" spans="1:64" x14ac:dyDescent="0.2">
      <c r="A26" s="91">
        <v>22</v>
      </c>
      <c r="B26" s="132" t="s">
        <v>37</v>
      </c>
      <c r="C26" s="155">
        <v>1278100</v>
      </c>
      <c r="D26" s="155">
        <v>0</v>
      </c>
      <c r="E26" s="155">
        <v>13100</v>
      </c>
      <c r="F26" s="155">
        <v>115600</v>
      </c>
      <c r="G26" s="97"/>
      <c r="H26" s="97"/>
      <c r="I26" s="164">
        <v>0</v>
      </c>
      <c r="J26" s="164"/>
      <c r="K26" s="165">
        <v>0</v>
      </c>
      <c r="L26" s="166">
        <v>1.19</v>
      </c>
      <c r="M26" s="118">
        <v>1.19</v>
      </c>
      <c r="N26" s="133">
        <v>4480</v>
      </c>
      <c r="O26" s="133">
        <v>4501</v>
      </c>
      <c r="P26" s="167">
        <v>765.25</v>
      </c>
      <c r="Q26" s="133">
        <v>0</v>
      </c>
      <c r="R26" s="168">
        <v>0</v>
      </c>
      <c r="S26" s="169">
        <v>439.35968000000003</v>
      </c>
      <c r="T26" s="135">
        <v>487</v>
      </c>
      <c r="U26" s="97">
        <v>18</v>
      </c>
      <c r="V26" s="139">
        <v>1.01</v>
      </c>
      <c r="W26" s="136">
        <v>9659.9</v>
      </c>
      <c r="X26" s="123">
        <v>968988</v>
      </c>
      <c r="Y26" s="137">
        <v>702876.04999999993</v>
      </c>
      <c r="Z26" s="123">
        <v>2192.91989927545</v>
      </c>
      <c r="AA26" s="123">
        <v>135.23731696428575</v>
      </c>
      <c r="AB26" s="123">
        <v>405.55904017857142</v>
      </c>
      <c r="AC26" s="123">
        <v>138.56849967159698</v>
      </c>
      <c r="AD26" s="123">
        <v>76.976116071428578</v>
      </c>
      <c r="AE26" s="123">
        <v>62.784709821428571</v>
      </c>
      <c r="AF26" s="122">
        <v>3012.0455819827607</v>
      </c>
      <c r="AG26" s="123">
        <v>2208.7670871355908</v>
      </c>
      <c r="AH26" s="123">
        <v>105.76740724283492</v>
      </c>
      <c r="AI26" s="123">
        <v>383.11313041546322</v>
      </c>
      <c r="AJ26" s="123">
        <v>139.92945961482911</v>
      </c>
      <c r="AK26" s="123">
        <v>102.94734503443679</v>
      </c>
      <c r="AL26" s="123">
        <v>67.790579871139755</v>
      </c>
      <c r="AM26" s="122">
        <v>3008.3150093142949</v>
      </c>
      <c r="AN26" s="138">
        <v>2200.8434932055206</v>
      </c>
      <c r="AO26" s="139">
        <v>120.50236210356033</v>
      </c>
      <c r="AP26" s="140">
        <v>394.33608529701735</v>
      </c>
      <c r="AQ26" s="140">
        <v>139.24897964321303</v>
      </c>
      <c r="AR26" s="139">
        <v>89.961730552932693</v>
      </c>
      <c r="AS26" s="141">
        <v>65.287644846284167</v>
      </c>
      <c r="AT26" s="122">
        <v>3010.1802956485285</v>
      </c>
      <c r="AU26" s="136">
        <v>3432.7811739527956</v>
      </c>
      <c r="AV26" s="142">
        <v>0.96</v>
      </c>
      <c r="AW26" s="143">
        <v>0</v>
      </c>
      <c r="AX26" s="213">
        <v>-0.46257694781954434</v>
      </c>
      <c r="AY26" s="214">
        <v>-2.8943168829968974E-2</v>
      </c>
      <c r="AZ26" s="214">
        <v>-7.3800818973715016E-2</v>
      </c>
      <c r="BA26" s="214">
        <v>-4.4126371631322263E-2</v>
      </c>
      <c r="BB26" s="203">
        <v>1.1538861902446025</v>
      </c>
      <c r="BC26" s="139">
        <v>249</v>
      </c>
      <c r="BD26" s="204">
        <v>0.9</v>
      </c>
      <c r="BE26" s="139">
        <v>18729.907801024532</v>
      </c>
      <c r="BF26" s="139">
        <v>11000</v>
      </c>
      <c r="BG26" s="205">
        <v>0.65</v>
      </c>
      <c r="BH26" s="205">
        <v>0.65</v>
      </c>
      <c r="BI26" s="204">
        <v>0.2</v>
      </c>
      <c r="BJ26" s="142">
        <v>0.6</v>
      </c>
      <c r="BK26" s="205">
        <v>0.2</v>
      </c>
      <c r="BL26" s="170"/>
    </row>
    <row r="27" spans="1:64" x14ac:dyDescent="0.2">
      <c r="A27" s="91">
        <v>23</v>
      </c>
      <c r="B27" s="132" t="s">
        <v>38</v>
      </c>
      <c r="C27" s="155">
        <v>863600</v>
      </c>
      <c r="D27" s="155">
        <v>157200</v>
      </c>
      <c r="E27" s="155">
        <v>552800</v>
      </c>
      <c r="F27" s="155">
        <v>0</v>
      </c>
      <c r="G27" s="97"/>
      <c r="H27" s="97"/>
      <c r="I27" s="164">
        <v>0</v>
      </c>
      <c r="J27" s="164"/>
      <c r="K27" s="165">
        <v>0</v>
      </c>
      <c r="L27" s="166">
        <v>1.4</v>
      </c>
      <c r="M27" s="118">
        <v>1.34</v>
      </c>
      <c r="N27" s="133">
        <v>2095</v>
      </c>
      <c r="O27" s="133">
        <v>2055</v>
      </c>
      <c r="P27" s="167">
        <v>687.053</v>
      </c>
      <c r="Q27" s="133">
        <v>0</v>
      </c>
      <c r="R27" s="168">
        <v>0</v>
      </c>
      <c r="S27" s="169">
        <v>438.05007999999998</v>
      </c>
      <c r="T27" s="135">
        <v>274</v>
      </c>
      <c r="U27" s="97">
        <v>1</v>
      </c>
      <c r="V27" s="139">
        <v>0.95</v>
      </c>
      <c r="W27" s="136">
        <v>0</v>
      </c>
      <c r="X27" s="123">
        <v>185161.17</v>
      </c>
      <c r="Y27" s="137">
        <v>199300.09999999998</v>
      </c>
      <c r="Z27" s="123">
        <v>2246.8309159853243</v>
      </c>
      <c r="AA27" s="123">
        <v>117.75048687350838</v>
      </c>
      <c r="AB27" s="123">
        <v>92.157374701670648</v>
      </c>
      <c r="AC27" s="123">
        <v>152.52860884302214</v>
      </c>
      <c r="AD27" s="123">
        <v>46.418926014319808</v>
      </c>
      <c r="AE27" s="123">
        <v>179.54334128878281</v>
      </c>
      <c r="AF27" s="122">
        <v>2835.2296537066277</v>
      </c>
      <c r="AG27" s="123">
        <v>2445.799350874323</v>
      </c>
      <c r="AH27" s="123">
        <v>100.25046228710461</v>
      </c>
      <c r="AI27" s="123">
        <v>112.41992700729926</v>
      </c>
      <c r="AJ27" s="123">
        <v>158.81730234884049</v>
      </c>
      <c r="AK27" s="123">
        <v>44.849099756690997</v>
      </c>
      <c r="AL27" s="123">
        <v>69.14</v>
      </c>
      <c r="AM27" s="122">
        <v>2931.2761422742578</v>
      </c>
      <c r="AN27" s="138">
        <v>2346.3151334298236</v>
      </c>
      <c r="AO27" s="139">
        <v>109.0004745803065</v>
      </c>
      <c r="AP27" s="140">
        <v>102.28865085448496</v>
      </c>
      <c r="AQ27" s="140">
        <v>155.67295559593131</v>
      </c>
      <c r="AR27" s="139">
        <v>45.634012885505399</v>
      </c>
      <c r="AS27" s="141">
        <v>124.3416706443914</v>
      </c>
      <c r="AT27" s="122">
        <v>2883.2528979904432</v>
      </c>
      <c r="AU27" s="136">
        <v>3432.7811739527956</v>
      </c>
      <c r="AV27" s="142">
        <v>0.96</v>
      </c>
      <c r="AW27" s="143">
        <v>0</v>
      </c>
      <c r="AX27" s="213">
        <v>0.52352737401690208</v>
      </c>
      <c r="AY27" s="214">
        <v>-2.8943168829968974E-2</v>
      </c>
      <c r="AZ27" s="214">
        <v>-7.3800818973715016E-2</v>
      </c>
      <c r="BA27" s="214">
        <v>-2.6869346775300437E-2</v>
      </c>
      <c r="BB27" s="203">
        <v>1.1538861902446025</v>
      </c>
      <c r="BC27" s="139">
        <v>249</v>
      </c>
      <c r="BD27" s="204">
        <v>0.9</v>
      </c>
      <c r="BE27" s="139">
        <v>18729.907801024532</v>
      </c>
      <c r="BF27" s="139">
        <v>11000</v>
      </c>
      <c r="BG27" s="205">
        <v>0.65</v>
      </c>
      <c r="BH27" s="205">
        <v>0.65</v>
      </c>
      <c r="BI27" s="204">
        <v>0.2</v>
      </c>
      <c r="BJ27" s="142">
        <v>0.6</v>
      </c>
      <c r="BK27" s="205">
        <v>0.2</v>
      </c>
      <c r="BL27" s="170"/>
    </row>
    <row r="28" spans="1:64" x14ac:dyDescent="0.2">
      <c r="A28" s="91">
        <v>24</v>
      </c>
      <c r="B28" s="132" t="s">
        <v>39</v>
      </c>
      <c r="C28" s="155">
        <v>572000</v>
      </c>
      <c r="D28" s="155">
        <v>1164800</v>
      </c>
      <c r="E28" s="155">
        <v>492800</v>
      </c>
      <c r="F28" s="155">
        <v>0</v>
      </c>
      <c r="G28" s="97"/>
      <c r="H28" s="97"/>
      <c r="I28" s="164">
        <v>0</v>
      </c>
      <c r="J28" s="164"/>
      <c r="K28" s="165">
        <v>0</v>
      </c>
      <c r="L28" s="166">
        <v>1.48</v>
      </c>
      <c r="M28" s="118">
        <v>1.45</v>
      </c>
      <c r="N28" s="133">
        <v>11438</v>
      </c>
      <c r="O28" s="133">
        <v>11549</v>
      </c>
      <c r="P28" s="167">
        <v>4050.2530000000002</v>
      </c>
      <c r="Q28" s="133">
        <v>134</v>
      </c>
      <c r="R28" s="168">
        <v>0</v>
      </c>
      <c r="S28" s="169">
        <v>3946.2256600000005</v>
      </c>
      <c r="T28" s="135">
        <v>1308</v>
      </c>
      <c r="U28" s="97">
        <v>33</v>
      </c>
      <c r="V28" s="139">
        <v>1.02</v>
      </c>
      <c r="W28" s="136">
        <v>560198.77</v>
      </c>
      <c r="X28" s="123">
        <v>1603013.1099999999</v>
      </c>
      <c r="Y28" s="137">
        <v>1550638.9</v>
      </c>
      <c r="Z28" s="123">
        <v>2137.6316227151488</v>
      </c>
      <c r="AA28" s="123">
        <v>220.6106478405315</v>
      </c>
      <c r="AB28" s="123">
        <v>382.23107623710439</v>
      </c>
      <c r="AC28" s="123">
        <v>158.95729676659198</v>
      </c>
      <c r="AD28" s="123">
        <v>132.25369382759223</v>
      </c>
      <c r="AE28" s="123">
        <v>72.525498338870435</v>
      </c>
      <c r="AF28" s="122">
        <v>3104.2098357258387</v>
      </c>
      <c r="AG28" s="123">
        <v>2329.3996012095986</v>
      </c>
      <c r="AH28" s="123">
        <v>233.49738938436229</v>
      </c>
      <c r="AI28" s="123">
        <v>421.24005974543252</v>
      </c>
      <c r="AJ28" s="123">
        <v>163.60641195459286</v>
      </c>
      <c r="AK28" s="123">
        <v>144.00431639102953</v>
      </c>
      <c r="AL28" s="123">
        <v>94.968369555805694</v>
      </c>
      <c r="AM28" s="122">
        <v>3386.716148240821</v>
      </c>
      <c r="AN28" s="138">
        <v>2233.5156119623734</v>
      </c>
      <c r="AO28" s="139">
        <v>227.0540186124469</v>
      </c>
      <c r="AP28" s="140">
        <v>401.73556799126845</v>
      </c>
      <c r="AQ28" s="140">
        <v>161.28185436059243</v>
      </c>
      <c r="AR28" s="139">
        <v>138.12900510931087</v>
      </c>
      <c r="AS28" s="141">
        <v>83.746933947338064</v>
      </c>
      <c r="AT28" s="122">
        <v>3245.4629919833305</v>
      </c>
      <c r="AU28" s="136">
        <v>3432.7811739527956</v>
      </c>
      <c r="AV28" s="142">
        <v>0.96</v>
      </c>
      <c r="AW28" s="143">
        <v>0</v>
      </c>
      <c r="AX28" s="213">
        <v>0.62176452691295625</v>
      </c>
      <c r="AY28" s="214">
        <v>-2.097159514158236E-2</v>
      </c>
      <c r="AZ28" s="214">
        <v>-7.3800818973715016E-2</v>
      </c>
      <c r="BA28" s="214">
        <v>-7.6735154830179899E-3</v>
      </c>
      <c r="BB28" s="203">
        <v>1.1538861902446025</v>
      </c>
      <c r="BC28" s="139">
        <v>249</v>
      </c>
      <c r="BD28" s="204">
        <v>0.9</v>
      </c>
      <c r="BE28" s="139">
        <v>18729.907801024532</v>
      </c>
      <c r="BF28" s="139">
        <v>11000</v>
      </c>
      <c r="BG28" s="205">
        <v>0.65</v>
      </c>
      <c r="BH28" s="205">
        <v>0.65</v>
      </c>
      <c r="BI28" s="204">
        <v>0.2</v>
      </c>
      <c r="BJ28" s="142">
        <v>0.6</v>
      </c>
      <c r="BK28" s="205">
        <v>0.2</v>
      </c>
      <c r="BL28" s="170"/>
    </row>
    <row r="29" spans="1:64" x14ac:dyDescent="0.2">
      <c r="A29" s="91">
        <v>25</v>
      </c>
      <c r="B29" s="132" t="s">
        <v>40</v>
      </c>
      <c r="C29" s="155">
        <v>902500</v>
      </c>
      <c r="D29" s="155">
        <v>246100</v>
      </c>
      <c r="E29" s="155">
        <v>308100</v>
      </c>
      <c r="F29" s="155">
        <v>0</v>
      </c>
      <c r="G29" s="97"/>
      <c r="H29" s="97"/>
      <c r="I29" s="164">
        <v>0</v>
      </c>
      <c r="J29" s="164"/>
      <c r="K29" s="165">
        <v>0</v>
      </c>
      <c r="L29" s="166">
        <v>1.39</v>
      </c>
      <c r="M29" s="118">
        <v>1.39</v>
      </c>
      <c r="N29" s="133">
        <v>1537</v>
      </c>
      <c r="O29" s="133">
        <v>1521</v>
      </c>
      <c r="P29" s="167">
        <v>600.79199999999992</v>
      </c>
      <c r="Q29" s="133">
        <v>0</v>
      </c>
      <c r="R29" s="168">
        <v>1296.55309367207</v>
      </c>
      <c r="S29" s="169">
        <v>543.72094000000004</v>
      </c>
      <c r="T29" s="135">
        <v>195</v>
      </c>
      <c r="U29" s="97">
        <v>6</v>
      </c>
      <c r="V29" s="139">
        <v>0.89</v>
      </c>
      <c r="W29" s="136">
        <v>91275.45</v>
      </c>
      <c r="X29" s="123">
        <v>189242.15</v>
      </c>
      <c r="Y29" s="137">
        <v>92334.95</v>
      </c>
      <c r="Z29" s="123">
        <v>2042.9277316512187</v>
      </c>
      <c r="AA29" s="123">
        <v>46.047716330513985</v>
      </c>
      <c r="AB29" s="123">
        <v>41.566851008458038</v>
      </c>
      <c r="AC29" s="123">
        <v>140.45435403487897</v>
      </c>
      <c r="AD29" s="123">
        <v>75.00842550422901</v>
      </c>
      <c r="AE29" s="123">
        <v>106.53162003903709</v>
      </c>
      <c r="AF29" s="122">
        <v>2452.5366985683354</v>
      </c>
      <c r="AG29" s="123">
        <v>2258.6265720244587</v>
      </c>
      <c r="AH29" s="123">
        <v>62.200065746219586</v>
      </c>
      <c r="AI29" s="123">
        <v>51.460453648915191</v>
      </c>
      <c r="AJ29" s="123">
        <v>146.57147983665942</v>
      </c>
      <c r="AK29" s="123">
        <v>129.02629848783695</v>
      </c>
      <c r="AL29" s="123">
        <v>316.18948060486525</v>
      </c>
      <c r="AM29" s="122">
        <v>2964.0743503489548</v>
      </c>
      <c r="AN29" s="138">
        <v>2150.7771518378386</v>
      </c>
      <c r="AO29" s="139">
        <v>54.123891038366786</v>
      </c>
      <c r="AP29" s="140">
        <v>46.513652328686618</v>
      </c>
      <c r="AQ29" s="140">
        <v>143.5129169357692</v>
      </c>
      <c r="AR29" s="139">
        <v>102.01736199603297</v>
      </c>
      <c r="AS29" s="141">
        <v>211.36055032195117</v>
      </c>
      <c r="AT29" s="122">
        <v>2708.3055244586449</v>
      </c>
      <c r="AU29" s="136">
        <v>3432.7811739527956</v>
      </c>
      <c r="AV29" s="142">
        <v>0.96</v>
      </c>
      <c r="AW29" s="143">
        <v>0</v>
      </c>
      <c r="AX29" s="213">
        <v>0.88760142418471899</v>
      </c>
      <c r="AY29" s="214">
        <v>-2.8943168829968974E-2</v>
      </c>
      <c r="AZ29" s="214">
        <v>-2.0087676723179623E-2</v>
      </c>
      <c r="BA29" s="214">
        <v>-5.3165358602062012E-3</v>
      </c>
      <c r="BB29" s="203">
        <v>1.1538861902446025</v>
      </c>
      <c r="BC29" s="139">
        <v>249</v>
      </c>
      <c r="BD29" s="204">
        <v>0.9</v>
      </c>
      <c r="BE29" s="139">
        <v>18729.907801024532</v>
      </c>
      <c r="BF29" s="139">
        <v>11000</v>
      </c>
      <c r="BG29" s="205">
        <v>0.65</v>
      </c>
      <c r="BH29" s="205">
        <v>0.65</v>
      </c>
      <c r="BI29" s="204">
        <v>0.2</v>
      </c>
      <c r="BJ29" s="142">
        <v>0.6</v>
      </c>
      <c r="BK29" s="205">
        <v>0.2</v>
      </c>
      <c r="BL29" s="170"/>
    </row>
    <row r="30" spans="1:64" x14ac:dyDescent="0.2">
      <c r="A30" s="91">
        <v>26</v>
      </c>
      <c r="B30" s="132" t="s">
        <v>41</v>
      </c>
      <c r="C30" s="155">
        <v>1861900</v>
      </c>
      <c r="D30" s="155">
        <v>1523500</v>
      </c>
      <c r="E30" s="155">
        <v>1304400</v>
      </c>
      <c r="F30" s="155">
        <v>0</v>
      </c>
      <c r="G30" s="97"/>
      <c r="H30" s="97"/>
      <c r="I30" s="164">
        <v>0</v>
      </c>
      <c r="J30" s="164"/>
      <c r="K30" s="165">
        <v>0</v>
      </c>
      <c r="L30" s="166">
        <v>1.33</v>
      </c>
      <c r="M30" s="118">
        <v>1.28</v>
      </c>
      <c r="N30" s="133">
        <v>8811</v>
      </c>
      <c r="O30" s="133">
        <v>8839</v>
      </c>
      <c r="P30" s="167">
        <v>3359.4683999999993</v>
      </c>
      <c r="Q30" s="133">
        <v>6</v>
      </c>
      <c r="R30" s="168">
        <v>4634.3439036513</v>
      </c>
      <c r="S30" s="169">
        <v>3460.2139000000002</v>
      </c>
      <c r="T30" s="135">
        <v>1093</v>
      </c>
      <c r="U30" s="97">
        <v>19</v>
      </c>
      <c r="V30" s="139">
        <v>0.93</v>
      </c>
      <c r="W30" s="136">
        <v>60134.399999999994</v>
      </c>
      <c r="X30" s="123">
        <v>1074425.05</v>
      </c>
      <c r="Y30" s="137">
        <v>752333.35000000009</v>
      </c>
      <c r="Z30" s="123">
        <v>2155.9904894388947</v>
      </c>
      <c r="AA30" s="123">
        <v>172.47915446600837</v>
      </c>
      <c r="AB30" s="123">
        <v>307.81273408239701</v>
      </c>
      <c r="AC30" s="123">
        <v>156.70965941411313</v>
      </c>
      <c r="AD30" s="123">
        <v>59.838809442742026</v>
      </c>
      <c r="AE30" s="123">
        <v>110.16161048689138</v>
      </c>
      <c r="AF30" s="122">
        <v>2962.9924573310464</v>
      </c>
      <c r="AG30" s="123">
        <v>2383.7085305407822</v>
      </c>
      <c r="AH30" s="123">
        <v>183.0322095259645</v>
      </c>
      <c r="AI30" s="123">
        <v>321.8935569634574</v>
      </c>
      <c r="AJ30" s="123">
        <v>164.0491551774239</v>
      </c>
      <c r="AK30" s="123">
        <v>64.592697137685249</v>
      </c>
      <c r="AL30" s="123">
        <v>88.039167326620657</v>
      </c>
      <c r="AM30" s="122">
        <v>3205.3153166719339</v>
      </c>
      <c r="AN30" s="138">
        <v>2269.8495099898382</v>
      </c>
      <c r="AO30" s="139">
        <v>177.75568199598644</v>
      </c>
      <c r="AP30" s="140">
        <v>314.85314552292721</v>
      </c>
      <c r="AQ30" s="140">
        <v>160.37940729576852</v>
      </c>
      <c r="AR30" s="139">
        <v>62.215753290213641</v>
      </c>
      <c r="AS30" s="141">
        <v>99.100388906756024</v>
      </c>
      <c r="AT30" s="122">
        <v>3084.1538870014901</v>
      </c>
      <c r="AU30" s="136">
        <v>3432.7811739527956</v>
      </c>
      <c r="AV30" s="142">
        <v>0.96</v>
      </c>
      <c r="AW30" s="143">
        <v>0</v>
      </c>
      <c r="AX30" s="213">
        <v>0.79803370649454919</v>
      </c>
      <c r="AY30" s="214">
        <v>-2.8476797585870097E-2</v>
      </c>
      <c r="AZ30" s="214">
        <v>0.11818913851404447</v>
      </c>
      <c r="BA30" s="214">
        <v>-2.394236633384277E-4</v>
      </c>
      <c r="BB30" s="203">
        <v>1.1538861902446025</v>
      </c>
      <c r="BC30" s="139">
        <v>249</v>
      </c>
      <c r="BD30" s="204">
        <v>0.9</v>
      </c>
      <c r="BE30" s="139">
        <v>18729.907801024532</v>
      </c>
      <c r="BF30" s="139">
        <v>11000</v>
      </c>
      <c r="BG30" s="205">
        <v>0.65</v>
      </c>
      <c r="BH30" s="205">
        <v>0.65</v>
      </c>
      <c r="BI30" s="204">
        <v>0.2</v>
      </c>
      <c r="BJ30" s="142">
        <v>0.6</v>
      </c>
      <c r="BK30" s="205">
        <v>0.2</v>
      </c>
      <c r="BL30" s="170"/>
    </row>
    <row r="31" spans="1:64" x14ac:dyDescent="0.2">
      <c r="A31" s="91">
        <v>27</v>
      </c>
      <c r="B31" s="132" t="s">
        <v>42</v>
      </c>
      <c r="C31" s="155">
        <v>864400</v>
      </c>
      <c r="D31" s="155">
        <v>317300</v>
      </c>
      <c r="E31" s="155">
        <v>106700</v>
      </c>
      <c r="F31" s="155">
        <v>0</v>
      </c>
      <c r="G31" s="97"/>
      <c r="H31" s="97"/>
      <c r="I31" s="164">
        <v>0</v>
      </c>
      <c r="J31" s="164"/>
      <c r="K31" s="165">
        <v>0</v>
      </c>
      <c r="L31" s="166">
        <v>1.39</v>
      </c>
      <c r="M31" s="118">
        <v>1.35</v>
      </c>
      <c r="N31" s="133">
        <v>2305</v>
      </c>
      <c r="O31" s="133">
        <v>2357</v>
      </c>
      <c r="P31" s="167">
        <v>877.57999999999993</v>
      </c>
      <c r="Q31" s="133">
        <v>0</v>
      </c>
      <c r="R31" s="168">
        <v>1060.35762786995</v>
      </c>
      <c r="S31" s="169">
        <v>933.35056999999995</v>
      </c>
      <c r="T31" s="135">
        <v>269</v>
      </c>
      <c r="U31" s="97">
        <v>2</v>
      </c>
      <c r="V31" s="139">
        <v>0.99</v>
      </c>
      <c r="W31" s="136">
        <v>21645.8</v>
      </c>
      <c r="X31" s="123">
        <v>424356</v>
      </c>
      <c r="Y31" s="137">
        <v>183509.55000000002</v>
      </c>
      <c r="Z31" s="123">
        <v>1946.6270634028494</v>
      </c>
      <c r="AA31" s="123">
        <v>255.44022125813447</v>
      </c>
      <c r="AB31" s="123">
        <v>298.45459869848156</v>
      </c>
      <c r="AC31" s="123">
        <v>165.66389210647498</v>
      </c>
      <c r="AD31" s="123">
        <v>84.855878524945766</v>
      </c>
      <c r="AE31" s="123">
        <v>62.502039045553147</v>
      </c>
      <c r="AF31" s="122">
        <v>2813.5436930364394</v>
      </c>
      <c r="AG31" s="123">
        <v>2090.5771154323611</v>
      </c>
      <c r="AH31" s="123">
        <v>229.3470301230378</v>
      </c>
      <c r="AI31" s="123">
        <v>282.5928935086975</v>
      </c>
      <c r="AJ31" s="123">
        <v>170.09781212632586</v>
      </c>
      <c r="AK31" s="123">
        <v>142.15222740772168</v>
      </c>
      <c r="AL31" s="123">
        <v>112.60371234620281</v>
      </c>
      <c r="AM31" s="122">
        <v>3027.3707909443469</v>
      </c>
      <c r="AN31" s="138">
        <v>2018.6020894176054</v>
      </c>
      <c r="AO31" s="139">
        <v>242.39362569058613</v>
      </c>
      <c r="AP31" s="140">
        <v>290.52374610358953</v>
      </c>
      <c r="AQ31" s="140">
        <v>167.88085211640043</v>
      </c>
      <c r="AR31" s="139">
        <v>113.50405296633372</v>
      </c>
      <c r="AS31" s="141">
        <v>87.552875695877987</v>
      </c>
      <c r="AT31" s="122">
        <v>2920.4572419903934</v>
      </c>
      <c r="AU31" s="136">
        <v>3432.7811739527956</v>
      </c>
      <c r="AV31" s="142">
        <v>0.96</v>
      </c>
      <c r="AW31" s="143">
        <v>0</v>
      </c>
      <c r="AX31" s="213">
        <v>0.75155874070106909</v>
      </c>
      <c r="AY31" s="214">
        <v>-2.8943168829968974E-2</v>
      </c>
      <c r="AZ31" s="214">
        <v>-2.9872698806332001E-2</v>
      </c>
      <c r="BA31" s="214">
        <v>4.3558526065197906E-4</v>
      </c>
      <c r="BB31" s="203">
        <v>1.1538861902446025</v>
      </c>
      <c r="BC31" s="139">
        <v>249</v>
      </c>
      <c r="BD31" s="204">
        <v>0.9</v>
      </c>
      <c r="BE31" s="139">
        <v>18729.907801024532</v>
      </c>
      <c r="BF31" s="139">
        <v>11000</v>
      </c>
      <c r="BG31" s="205">
        <v>0.65</v>
      </c>
      <c r="BH31" s="205">
        <v>0.65</v>
      </c>
      <c r="BI31" s="204">
        <v>0.2</v>
      </c>
      <c r="BJ31" s="142">
        <v>0.6</v>
      </c>
      <c r="BK31" s="205">
        <v>0.2</v>
      </c>
      <c r="BL31" s="170"/>
    </row>
    <row r="32" spans="1:64" x14ac:dyDescent="0.2">
      <c r="A32" s="91">
        <v>28</v>
      </c>
      <c r="B32" s="132" t="s">
        <v>43</v>
      </c>
      <c r="C32" s="155">
        <v>0</v>
      </c>
      <c r="D32" s="155">
        <v>256200</v>
      </c>
      <c r="E32" s="155">
        <v>0</v>
      </c>
      <c r="F32" s="155">
        <v>0</v>
      </c>
      <c r="G32" s="97"/>
      <c r="H32" s="97"/>
      <c r="I32" s="164">
        <v>0</v>
      </c>
      <c r="J32" s="164"/>
      <c r="K32" s="165">
        <v>0</v>
      </c>
      <c r="L32" s="166">
        <v>1.18</v>
      </c>
      <c r="M32" s="118">
        <v>1.1000000000000001</v>
      </c>
      <c r="N32" s="133">
        <v>5455</v>
      </c>
      <c r="O32" s="133">
        <v>5564</v>
      </c>
      <c r="P32" s="167">
        <v>1967.86</v>
      </c>
      <c r="Q32" s="133">
        <v>0</v>
      </c>
      <c r="R32" s="168">
        <v>5666.9985183844601</v>
      </c>
      <c r="S32" s="169">
        <v>4156.42029</v>
      </c>
      <c r="T32" s="135">
        <v>566</v>
      </c>
      <c r="U32" s="97">
        <v>13</v>
      </c>
      <c r="V32" s="139">
        <v>0.96</v>
      </c>
      <c r="W32" s="136">
        <v>59270.3</v>
      </c>
      <c r="X32" s="123">
        <v>349373.05</v>
      </c>
      <c r="Y32" s="137">
        <v>532211.15</v>
      </c>
      <c r="Z32" s="123">
        <v>2143.4339703007581</v>
      </c>
      <c r="AA32" s="123">
        <v>494.91158020164994</v>
      </c>
      <c r="AB32" s="123">
        <v>750.1714940421632</v>
      </c>
      <c r="AC32" s="123">
        <v>188.25312246829529</v>
      </c>
      <c r="AD32" s="123">
        <v>113.76875343721358</v>
      </c>
      <c r="AE32" s="123">
        <v>91.429734188817605</v>
      </c>
      <c r="AF32" s="122">
        <v>3781.9686546388975</v>
      </c>
      <c r="AG32" s="123">
        <v>2254.8299657643952</v>
      </c>
      <c r="AH32" s="123">
        <v>577.69259525521204</v>
      </c>
      <c r="AI32" s="123">
        <v>785.50615564342195</v>
      </c>
      <c r="AJ32" s="123">
        <v>192.57492887638699</v>
      </c>
      <c r="AK32" s="123">
        <v>110.7716840402588</v>
      </c>
      <c r="AL32" s="123">
        <v>140.52861250898636</v>
      </c>
      <c r="AM32" s="122">
        <v>4061.9039420886611</v>
      </c>
      <c r="AN32" s="138">
        <v>2199.1319680325769</v>
      </c>
      <c r="AO32" s="139">
        <v>536.30208772843093</v>
      </c>
      <c r="AP32" s="140">
        <v>767.83882484279252</v>
      </c>
      <c r="AQ32" s="140">
        <v>190.41402567234115</v>
      </c>
      <c r="AR32" s="139">
        <v>112.27021873873619</v>
      </c>
      <c r="AS32" s="141">
        <v>115.97917334890198</v>
      </c>
      <c r="AT32" s="122">
        <v>3921.9362983637798</v>
      </c>
      <c r="AU32" s="136">
        <v>3432.7811739527956</v>
      </c>
      <c r="AV32" s="142">
        <v>0.96</v>
      </c>
      <c r="AW32" s="143">
        <v>-0.71247641434675213</v>
      </c>
      <c r="AX32" s="213">
        <v>0.63962200175725725</v>
      </c>
      <c r="AY32" s="214">
        <v>-2.8943168829968974E-2</v>
      </c>
      <c r="AZ32" s="214">
        <v>0.1609695880672064</v>
      </c>
      <c r="BA32" s="214">
        <v>5.2861024571950015E-2</v>
      </c>
      <c r="BB32" s="203">
        <v>1.1538861902446025</v>
      </c>
      <c r="BC32" s="139">
        <v>249</v>
      </c>
      <c r="BD32" s="204">
        <v>0.9</v>
      </c>
      <c r="BE32" s="139">
        <v>18729.907801024532</v>
      </c>
      <c r="BF32" s="139">
        <v>11000</v>
      </c>
      <c r="BG32" s="205">
        <v>0.65</v>
      </c>
      <c r="BH32" s="205">
        <v>0.65</v>
      </c>
      <c r="BI32" s="204">
        <v>0.2</v>
      </c>
      <c r="BJ32" s="142">
        <v>0.6</v>
      </c>
      <c r="BK32" s="205">
        <v>0.2</v>
      </c>
      <c r="BL32" s="170"/>
    </row>
    <row r="33" spans="1:64" x14ac:dyDescent="0.2">
      <c r="A33" s="91">
        <v>29</v>
      </c>
      <c r="B33" s="132" t="s">
        <v>44</v>
      </c>
      <c r="C33" s="155">
        <v>1894100</v>
      </c>
      <c r="D33" s="155">
        <v>514400</v>
      </c>
      <c r="E33" s="155">
        <v>202800</v>
      </c>
      <c r="F33" s="155">
        <v>0</v>
      </c>
      <c r="G33" s="97"/>
      <c r="H33" s="97"/>
      <c r="I33" s="164">
        <v>0</v>
      </c>
      <c r="J33" s="164"/>
      <c r="K33" s="165">
        <v>0</v>
      </c>
      <c r="L33" s="166">
        <v>1.49</v>
      </c>
      <c r="M33" s="118">
        <v>1.46</v>
      </c>
      <c r="N33" s="133">
        <v>3339</v>
      </c>
      <c r="O33" s="133">
        <v>3404</v>
      </c>
      <c r="P33" s="167">
        <v>1312.395</v>
      </c>
      <c r="Q33" s="133">
        <v>54</v>
      </c>
      <c r="R33" s="168">
        <v>0</v>
      </c>
      <c r="S33" s="169">
        <v>2227.3426199999999</v>
      </c>
      <c r="T33" s="135">
        <v>396</v>
      </c>
      <c r="U33" s="97">
        <v>10</v>
      </c>
      <c r="V33" s="139">
        <v>0.92</v>
      </c>
      <c r="W33" s="136">
        <v>3805.95</v>
      </c>
      <c r="X33" s="123">
        <v>309377.32</v>
      </c>
      <c r="Y33" s="137">
        <v>573631.05000000005</v>
      </c>
      <c r="Z33" s="123">
        <v>2211.7459669232899</v>
      </c>
      <c r="AA33" s="123">
        <v>73.439652590595998</v>
      </c>
      <c r="AB33" s="123">
        <v>89.469002695417785</v>
      </c>
      <c r="AC33" s="123">
        <v>146.76032733723139</v>
      </c>
      <c r="AD33" s="123">
        <v>84.431880802635519</v>
      </c>
      <c r="AE33" s="123">
        <v>36.380233602875116</v>
      </c>
      <c r="AF33" s="122">
        <v>2642.2270639520457</v>
      </c>
      <c r="AG33" s="123">
        <v>2284.8055931402782</v>
      </c>
      <c r="AH33" s="123">
        <v>88.212176850763825</v>
      </c>
      <c r="AI33" s="123">
        <v>88.600367215041132</v>
      </c>
      <c r="AJ33" s="123">
        <v>147.42562184741121</v>
      </c>
      <c r="AK33" s="123">
        <v>121.66910987074031</v>
      </c>
      <c r="AL33" s="123">
        <v>83.45699177438307</v>
      </c>
      <c r="AM33" s="122">
        <v>2814.169860698617</v>
      </c>
      <c r="AN33" s="138">
        <v>2248.2757800317841</v>
      </c>
      <c r="AO33" s="139">
        <v>80.825914720679918</v>
      </c>
      <c r="AP33" s="140">
        <v>89.034684955229466</v>
      </c>
      <c r="AQ33" s="140">
        <v>147.0929745923213</v>
      </c>
      <c r="AR33" s="139">
        <v>103.05049533668792</v>
      </c>
      <c r="AS33" s="141">
        <v>59.918612688629096</v>
      </c>
      <c r="AT33" s="122">
        <v>2728.198462325332</v>
      </c>
      <c r="AU33" s="136">
        <v>3432.7811739527956</v>
      </c>
      <c r="AV33" s="142">
        <v>0.96</v>
      </c>
      <c r="AW33" s="143">
        <v>0</v>
      </c>
      <c r="AX33" s="213">
        <v>0.83087046840137169</v>
      </c>
      <c r="AY33" s="214">
        <v>-1.8044138618655774E-2</v>
      </c>
      <c r="AZ33" s="214">
        <v>-7.3800818973715016E-2</v>
      </c>
      <c r="BA33" s="214">
        <v>3.9018097419971524E-2</v>
      </c>
      <c r="BB33" s="203">
        <v>1.1538861902446025</v>
      </c>
      <c r="BC33" s="139">
        <v>249</v>
      </c>
      <c r="BD33" s="204">
        <v>0.9</v>
      </c>
      <c r="BE33" s="139">
        <v>18729.907801024532</v>
      </c>
      <c r="BF33" s="139">
        <v>11000</v>
      </c>
      <c r="BG33" s="205">
        <v>0.65</v>
      </c>
      <c r="BH33" s="205">
        <v>0.65</v>
      </c>
      <c r="BI33" s="204">
        <v>0.2</v>
      </c>
      <c r="BJ33" s="142">
        <v>0.6</v>
      </c>
      <c r="BK33" s="205">
        <v>0.2</v>
      </c>
      <c r="BL33" s="170"/>
    </row>
    <row r="34" spans="1:64" x14ac:dyDescent="0.2">
      <c r="A34" s="91">
        <v>30</v>
      </c>
      <c r="B34" s="132" t="s">
        <v>45</v>
      </c>
      <c r="C34" s="155">
        <v>2302400</v>
      </c>
      <c r="D34" s="155">
        <v>1137000</v>
      </c>
      <c r="E34" s="155">
        <v>1135900</v>
      </c>
      <c r="F34" s="155">
        <v>0</v>
      </c>
      <c r="G34" s="97"/>
      <c r="H34" s="97"/>
      <c r="I34" s="164">
        <v>0</v>
      </c>
      <c r="J34" s="164"/>
      <c r="K34" s="165">
        <v>0</v>
      </c>
      <c r="L34" s="166">
        <v>1.3</v>
      </c>
      <c r="M34" s="118">
        <v>1.25</v>
      </c>
      <c r="N34" s="133">
        <v>6884</v>
      </c>
      <c r="O34" s="133">
        <v>6951</v>
      </c>
      <c r="P34" s="167">
        <v>2723.5675999999999</v>
      </c>
      <c r="Q34" s="133">
        <v>179</v>
      </c>
      <c r="R34" s="168">
        <v>0</v>
      </c>
      <c r="S34" s="169">
        <v>5464.7331100000001</v>
      </c>
      <c r="T34" s="135">
        <v>870</v>
      </c>
      <c r="U34" s="97">
        <v>18</v>
      </c>
      <c r="V34" s="139">
        <v>0.92</v>
      </c>
      <c r="W34" s="136">
        <v>121481.3</v>
      </c>
      <c r="X34" s="123">
        <v>598788.05999999994</v>
      </c>
      <c r="Y34" s="137">
        <v>726359.7</v>
      </c>
      <c r="Z34" s="123">
        <v>2419.3276441961889</v>
      </c>
      <c r="AA34" s="123">
        <v>162.46278036025569</v>
      </c>
      <c r="AB34" s="123">
        <v>136.87340935502613</v>
      </c>
      <c r="AC34" s="123">
        <v>141.96426897066408</v>
      </c>
      <c r="AD34" s="123">
        <v>60.200938407902385</v>
      </c>
      <c r="AE34" s="123">
        <v>96.39474142940152</v>
      </c>
      <c r="AF34" s="122">
        <v>3017.223782719439</v>
      </c>
      <c r="AG34" s="123">
        <v>2302.4529842975949</v>
      </c>
      <c r="AH34" s="123">
        <v>164.85835850956698</v>
      </c>
      <c r="AI34" s="123">
        <v>122.16576032225578</v>
      </c>
      <c r="AJ34" s="123">
        <v>144.45502380190825</v>
      </c>
      <c r="AK34" s="123">
        <v>75.536850812832682</v>
      </c>
      <c r="AL34" s="123">
        <v>95.33923176521364</v>
      </c>
      <c r="AM34" s="122">
        <v>2904.8082095093723</v>
      </c>
      <c r="AN34" s="138">
        <v>2360.8903142468916</v>
      </c>
      <c r="AO34" s="139">
        <v>163.66056943491134</v>
      </c>
      <c r="AP34" s="140">
        <v>129.51958483864095</v>
      </c>
      <c r="AQ34" s="140">
        <v>143.20964638628618</v>
      </c>
      <c r="AR34" s="139">
        <v>67.868894610367533</v>
      </c>
      <c r="AS34" s="141">
        <v>95.866986597307573</v>
      </c>
      <c r="AT34" s="122">
        <v>2961.0159961144054</v>
      </c>
      <c r="AU34" s="136">
        <v>3432.7811739527956</v>
      </c>
      <c r="AV34" s="142">
        <v>0.96</v>
      </c>
      <c r="AW34" s="143">
        <v>0</v>
      </c>
      <c r="AX34" s="213">
        <v>0.86855218645028909</v>
      </c>
      <c r="AY34" s="214">
        <v>-1.1250661244498951E-2</v>
      </c>
      <c r="AZ34" s="214">
        <v>-7.3800818973715016E-2</v>
      </c>
      <c r="BA34" s="214">
        <v>5.8709368698437042E-2</v>
      </c>
      <c r="BB34" s="203">
        <v>1.1538861902446025</v>
      </c>
      <c r="BC34" s="139">
        <v>249</v>
      </c>
      <c r="BD34" s="204">
        <v>0.9</v>
      </c>
      <c r="BE34" s="139">
        <v>18729.907801024532</v>
      </c>
      <c r="BF34" s="139">
        <v>11000</v>
      </c>
      <c r="BG34" s="205">
        <v>0.65</v>
      </c>
      <c r="BH34" s="205">
        <v>0.65</v>
      </c>
      <c r="BI34" s="204">
        <v>0.2</v>
      </c>
      <c r="BJ34" s="142">
        <v>0.6</v>
      </c>
      <c r="BK34" s="205">
        <v>0.2</v>
      </c>
      <c r="BL34" s="170"/>
    </row>
    <row r="35" spans="1:64" x14ac:dyDescent="0.2">
      <c r="A35" s="91">
        <v>31</v>
      </c>
      <c r="B35" s="132" t="s">
        <v>46</v>
      </c>
      <c r="C35" s="155">
        <v>0</v>
      </c>
      <c r="D35" s="155">
        <v>0</v>
      </c>
      <c r="E35" s="155">
        <v>0</v>
      </c>
      <c r="F35" s="155">
        <v>0</v>
      </c>
      <c r="G35" s="97"/>
      <c r="H35" s="97"/>
      <c r="I35" s="164">
        <v>0</v>
      </c>
      <c r="J35" s="164"/>
      <c r="K35" s="165">
        <v>0</v>
      </c>
      <c r="L35" s="166">
        <v>1.18</v>
      </c>
      <c r="M35" s="118">
        <v>1.18</v>
      </c>
      <c r="N35" s="133">
        <v>12531</v>
      </c>
      <c r="O35" s="133">
        <v>12612</v>
      </c>
      <c r="P35" s="167">
        <v>1663.6339999999998</v>
      </c>
      <c r="Q35" s="133">
        <v>20</v>
      </c>
      <c r="R35" s="168">
        <v>0</v>
      </c>
      <c r="S35" s="169">
        <v>1595.008</v>
      </c>
      <c r="T35" s="135">
        <v>1288</v>
      </c>
      <c r="U35" s="97">
        <v>31</v>
      </c>
      <c r="V35" s="139">
        <v>1.03</v>
      </c>
      <c r="W35" s="136">
        <v>610877.39999999991</v>
      </c>
      <c r="X35" s="123">
        <v>2113054.6800000002</v>
      </c>
      <c r="Y35" s="137">
        <v>1353417.8</v>
      </c>
      <c r="Z35" s="123">
        <v>2445.7654264418302</v>
      </c>
      <c r="AA35" s="123">
        <v>249.46977176602027</v>
      </c>
      <c r="AB35" s="123">
        <v>300.95979969675204</v>
      </c>
      <c r="AC35" s="123">
        <v>166.16053791680358</v>
      </c>
      <c r="AD35" s="123">
        <v>105.86087702497805</v>
      </c>
      <c r="AE35" s="123">
        <v>57.07079642486633</v>
      </c>
      <c r="AF35" s="122">
        <v>3325.28720927125</v>
      </c>
      <c r="AG35" s="123">
        <v>2578.4203282768653</v>
      </c>
      <c r="AH35" s="123">
        <v>240.84902077386613</v>
      </c>
      <c r="AI35" s="123">
        <v>391.1446638122423</v>
      </c>
      <c r="AJ35" s="123">
        <v>169.40262923187262</v>
      </c>
      <c r="AK35" s="123">
        <v>105.94593720266413</v>
      </c>
      <c r="AL35" s="123">
        <v>99.408428480811935</v>
      </c>
      <c r="AM35" s="122">
        <v>3585.1710077783223</v>
      </c>
      <c r="AN35" s="138">
        <v>2512.0928773593478</v>
      </c>
      <c r="AO35" s="139">
        <v>245.15939626994322</v>
      </c>
      <c r="AP35" s="140">
        <v>346.05223175449714</v>
      </c>
      <c r="AQ35" s="140">
        <v>167.7815835743381</v>
      </c>
      <c r="AR35" s="139">
        <v>105.90340711382109</v>
      </c>
      <c r="AS35" s="141">
        <v>78.23961245283914</v>
      </c>
      <c r="AT35" s="122">
        <v>3455.2291085247862</v>
      </c>
      <c r="AU35" s="136">
        <v>3432.7811739527956</v>
      </c>
      <c r="AV35" s="142">
        <v>0.96</v>
      </c>
      <c r="AW35" s="143">
        <v>-3.2696425193543543E-2</v>
      </c>
      <c r="AX35" s="213">
        <v>-0.6912809714996645</v>
      </c>
      <c r="AY35" s="214">
        <v>-2.7853662691214871E-2</v>
      </c>
      <c r="AZ35" s="214">
        <v>-7.3800818973715016E-2</v>
      </c>
      <c r="BA35" s="214">
        <v>-3.9817136053263591E-2</v>
      </c>
      <c r="BB35" s="203">
        <v>1.1538861902446025</v>
      </c>
      <c r="BC35" s="139">
        <v>249</v>
      </c>
      <c r="BD35" s="204">
        <v>0.9</v>
      </c>
      <c r="BE35" s="139">
        <v>18729.907801024532</v>
      </c>
      <c r="BF35" s="139">
        <v>11000</v>
      </c>
      <c r="BG35" s="205">
        <v>0.65</v>
      </c>
      <c r="BH35" s="205">
        <v>0.65</v>
      </c>
      <c r="BI35" s="204">
        <v>0.2</v>
      </c>
      <c r="BJ35" s="142">
        <v>0.6</v>
      </c>
      <c r="BK35" s="205">
        <v>0.2</v>
      </c>
      <c r="BL35" s="170"/>
    </row>
    <row r="36" spans="1:64" x14ac:dyDescent="0.2">
      <c r="A36" s="91">
        <v>32</v>
      </c>
      <c r="B36" s="132" t="s">
        <v>47</v>
      </c>
      <c r="C36" s="155">
        <v>2100900</v>
      </c>
      <c r="D36" s="155">
        <v>200800</v>
      </c>
      <c r="E36" s="155">
        <v>304600</v>
      </c>
      <c r="F36" s="155">
        <v>0</v>
      </c>
      <c r="G36" s="97"/>
      <c r="H36" s="97"/>
      <c r="I36" s="164">
        <v>0</v>
      </c>
      <c r="J36" s="164"/>
      <c r="K36" s="165">
        <v>0</v>
      </c>
      <c r="L36" s="166">
        <v>1.39</v>
      </c>
      <c r="M36" s="118">
        <v>1.39</v>
      </c>
      <c r="N36" s="133">
        <v>4999</v>
      </c>
      <c r="O36" s="133">
        <v>5049</v>
      </c>
      <c r="P36" s="167">
        <v>1472.5620000000001</v>
      </c>
      <c r="Q36" s="133">
        <v>67</v>
      </c>
      <c r="R36" s="168">
        <v>0</v>
      </c>
      <c r="S36" s="169">
        <v>3032.67929</v>
      </c>
      <c r="T36" s="135">
        <v>579</v>
      </c>
      <c r="U36" s="97">
        <v>9</v>
      </c>
      <c r="V36" s="139">
        <v>1.03</v>
      </c>
      <c r="W36" s="136">
        <v>0</v>
      </c>
      <c r="X36" s="123">
        <v>915083.87</v>
      </c>
      <c r="Y36" s="137">
        <v>531772.74999999988</v>
      </c>
      <c r="Z36" s="123">
        <v>2111.3340142224602</v>
      </c>
      <c r="AA36" s="123">
        <v>282.18729145829167</v>
      </c>
      <c r="AB36" s="123">
        <v>116.84670934186836</v>
      </c>
      <c r="AC36" s="123">
        <v>152.17048459807671</v>
      </c>
      <c r="AD36" s="123">
        <v>68.280946189237852</v>
      </c>
      <c r="AE36" s="123">
        <v>71.054500900180045</v>
      </c>
      <c r="AF36" s="122">
        <v>2801.873946710115</v>
      </c>
      <c r="AG36" s="123">
        <v>2235.479608583656</v>
      </c>
      <c r="AH36" s="123">
        <v>238.54783125371361</v>
      </c>
      <c r="AI36" s="123">
        <v>194.43780946722123</v>
      </c>
      <c r="AJ36" s="123">
        <v>157.82520734629233</v>
      </c>
      <c r="AK36" s="123">
        <v>68.336116062586655</v>
      </c>
      <c r="AL36" s="123">
        <v>53.919954446425031</v>
      </c>
      <c r="AM36" s="122">
        <v>2948.5465271598946</v>
      </c>
      <c r="AN36" s="138">
        <v>2173.4068114030579</v>
      </c>
      <c r="AO36" s="139">
        <v>260.36756135600262</v>
      </c>
      <c r="AP36" s="140">
        <v>155.6422594045448</v>
      </c>
      <c r="AQ36" s="140">
        <v>154.99784597218451</v>
      </c>
      <c r="AR36" s="139">
        <v>68.308531125912253</v>
      </c>
      <c r="AS36" s="141">
        <v>62.487227673302542</v>
      </c>
      <c r="AT36" s="122">
        <v>2875.210236935005</v>
      </c>
      <c r="AU36" s="136">
        <v>3432.7811739527956</v>
      </c>
      <c r="AV36" s="142">
        <v>0.96</v>
      </c>
      <c r="AW36" s="143">
        <v>0</v>
      </c>
      <c r="AX36" s="213">
        <v>0.26740203558133346</v>
      </c>
      <c r="AY36" s="214">
        <v>-1.9826145208739321E-2</v>
      </c>
      <c r="AZ36" s="214">
        <v>-7.3800818973715016E-2</v>
      </c>
      <c r="BA36" s="214">
        <v>3.1000888602893489E-2</v>
      </c>
      <c r="BB36" s="203">
        <v>1.1538861902446025</v>
      </c>
      <c r="BC36" s="139">
        <v>249</v>
      </c>
      <c r="BD36" s="204">
        <v>0.9</v>
      </c>
      <c r="BE36" s="139">
        <v>18729.907801024532</v>
      </c>
      <c r="BF36" s="139">
        <v>11000</v>
      </c>
      <c r="BG36" s="205">
        <v>0.65</v>
      </c>
      <c r="BH36" s="205">
        <v>0.65</v>
      </c>
      <c r="BI36" s="204">
        <v>0.2</v>
      </c>
      <c r="BJ36" s="142">
        <v>0.6</v>
      </c>
      <c r="BK36" s="205">
        <v>0.2</v>
      </c>
      <c r="BL36" s="170"/>
    </row>
    <row r="37" spans="1:64" x14ac:dyDescent="0.2">
      <c r="A37" s="91">
        <v>33</v>
      </c>
      <c r="B37" s="132" t="s">
        <v>48</v>
      </c>
      <c r="C37" s="155">
        <v>3713400</v>
      </c>
      <c r="D37" s="155">
        <v>378800</v>
      </c>
      <c r="E37" s="155">
        <v>1024900</v>
      </c>
      <c r="F37" s="155">
        <v>0</v>
      </c>
      <c r="G37" s="97"/>
      <c r="H37" s="97"/>
      <c r="I37" s="164">
        <v>0</v>
      </c>
      <c r="J37" s="164"/>
      <c r="K37" s="165">
        <v>0</v>
      </c>
      <c r="L37" s="166">
        <v>1.6</v>
      </c>
      <c r="M37" s="118">
        <v>1.6</v>
      </c>
      <c r="N37" s="133">
        <v>5237</v>
      </c>
      <c r="O37" s="133">
        <v>5296</v>
      </c>
      <c r="P37" s="167">
        <v>1563.3969999999995</v>
      </c>
      <c r="Q37" s="133">
        <v>31</v>
      </c>
      <c r="R37" s="168">
        <v>2878.3926679074202</v>
      </c>
      <c r="S37" s="169">
        <v>4175.16255</v>
      </c>
      <c r="T37" s="135">
        <v>669</v>
      </c>
      <c r="U37" s="97">
        <v>7</v>
      </c>
      <c r="V37" s="139">
        <v>0.99</v>
      </c>
      <c r="W37" s="136">
        <v>38450</v>
      </c>
      <c r="X37" s="123">
        <v>673311.15</v>
      </c>
      <c r="Y37" s="137">
        <v>698344.05</v>
      </c>
      <c r="Z37" s="123">
        <v>2033.783296642697</v>
      </c>
      <c r="AA37" s="123">
        <v>130.30139965629178</v>
      </c>
      <c r="AB37" s="123">
        <v>94.816574374641974</v>
      </c>
      <c r="AC37" s="123">
        <v>148.43453299274537</v>
      </c>
      <c r="AD37" s="123">
        <v>60.586461714722169</v>
      </c>
      <c r="AE37" s="123">
        <v>81.280647317166313</v>
      </c>
      <c r="AF37" s="122">
        <v>2549.2029126982652</v>
      </c>
      <c r="AG37" s="123">
        <v>2108.5528459147608</v>
      </c>
      <c r="AH37" s="123">
        <v>118.91848564954681</v>
      </c>
      <c r="AI37" s="123">
        <v>117.34834780966769</v>
      </c>
      <c r="AJ37" s="123">
        <v>150.3423930221191</v>
      </c>
      <c r="AK37" s="123">
        <v>64.867060045317217</v>
      </c>
      <c r="AL37" s="123">
        <v>63.570307779456186</v>
      </c>
      <c r="AM37" s="122">
        <v>2623.599440220868</v>
      </c>
      <c r="AN37" s="138">
        <v>2071.1680712787288</v>
      </c>
      <c r="AO37" s="139">
        <v>124.6099426529193</v>
      </c>
      <c r="AP37" s="140">
        <v>106.08246109215483</v>
      </c>
      <c r="AQ37" s="140">
        <v>149.38846300743222</v>
      </c>
      <c r="AR37" s="139">
        <v>62.726760880019697</v>
      </c>
      <c r="AS37" s="141">
        <v>72.42547754831125</v>
      </c>
      <c r="AT37" s="122">
        <v>2586.4011764595666</v>
      </c>
      <c r="AU37" s="136">
        <v>3432.7811739527956</v>
      </c>
      <c r="AV37" s="142">
        <v>0.96</v>
      </c>
      <c r="AW37" s="143">
        <v>0</v>
      </c>
      <c r="AX37" s="213">
        <v>0.28870175099547613</v>
      </c>
      <c r="AY37" s="214">
        <v>-2.492158278313204E-2</v>
      </c>
      <c r="AZ37" s="214">
        <v>4.5444212779156161E-2</v>
      </c>
      <c r="BA37" s="214">
        <v>5.9035259603683846E-2</v>
      </c>
      <c r="BB37" s="203">
        <v>1.1538861902446025</v>
      </c>
      <c r="BC37" s="139">
        <v>249</v>
      </c>
      <c r="BD37" s="204">
        <v>0.9</v>
      </c>
      <c r="BE37" s="139">
        <v>18729.907801024532</v>
      </c>
      <c r="BF37" s="139">
        <v>11000</v>
      </c>
      <c r="BG37" s="205">
        <v>0.65</v>
      </c>
      <c r="BH37" s="205">
        <v>0.65</v>
      </c>
      <c r="BI37" s="204">
        <v>0.2</v>
      </c>
      <c r="BJ37" s="142">
        <v>0.6</v>
      </c>
      <c r="BK37" s="205">
        <v>0.2</v>
      </c>
      <c r="BL37" s="170"/>
    </row>
    <row r="38" spans="1:64" x14ac:dyDescent="0.2">
      <c r="A38" s="91">
        <v>34</v>
      </c>
      <c r="B38" s="132" t="s">
        <v>49</v>
      </c>
      <c r="C38" s="155">
        <v>1372400</v>
      </c>
      <c r="D38" s="155">
        <v>0</v>
      </c>
      <c r="E38" s="155">
        <v>0</v>
      </c>
      <c r="F38" s="155">
        <v>0</v>
      </c>
      <c r="G38" s="97"/>
      <c r="H38" s="97"/>
      <c r="I38" s="164">
        <v>0</v>
      </c>
      <c r="J38" s="164"/>
      <c r="K38" s="165">
        <v>0</v>
      </c>
      <c r="L38" s="166">
        <v>1.42</v>
      </c>
      <c r="M38" s="118">
        <v>1.42</v>
      </c>
      <c r="N38" s="133">
        <v>6063</v>
      </c>
      <c r="O38" s="133">
        <v>6118</v>
      </c>
      <c r="P38" s="167">
        <v>956.8739999999998</v>
      </c>
      <c r="Q38" s="133">
        <v>0</v>
      </c>
      <c r="R38" s="168">
        <v>0</v>
      </c>
      <c r="S38" s="169">
        <v>946.38909000000012</v>
      </c>
      <c r="T38" s="135">
        <v>617</v>
      </c>
      <c r="U38" s="97">
        <v>12</v>
      </c>
      <c r="V38" s="139">
        <v>0.97</v>
      </c>
      <c r="W38" s="136">
        <v>270643.25</v>
      </c>
      <c r="X38" s="123">
        <v>613348.05000000005</v>
      </c>
      <c r="Y38" s="137">
        <v>628810.55000000005</v>
      </c>
      <c r="Z38" s="123">
        <v>2454.2648721323412</v>
      </c>
      <c r="AA38" s="123">
        <v>101.86034141514102</v>
      </c>
      <c r="AB38" s="123">
        <v>218.12434438396832</v>
      </c>
      <c r="AC38" s="123">
        <v>152.84434073604362</v>
      </c>
      <c r="AD38" s="123">
        <v>52.685469239650338</v>
      </c>
      <c r="AE38" s="123">
        <v>62.038635988784428</v>
      </c>
      <c r="AF38" s="122">
        <v>3041.8180038959295</v>
      </c>
      <c r="AG38" s="123">
        <v>2420.0970006979232</v>
      </c>
      <c r="AH38" s="123">
        <v>100.3033752860412</v>
      </c>
      <c r="AI38" s="123">
        <v>220.27282608695651</v>
      </c>
      <c r="AJ38" s="123">
        <v>156.71761300329803</v>
      </c>
      <c r="AK38" s="123">
        <v>104.08205295848316</v>
      </c>
      <c r="AL38" s="123">
        <v>94.941361556064066</v>
      </c>
      <c r="AM38" s="122">
        <v>3096.4142295887659</v>
      </c>
      <c r="AN38" s="138">
        <v>2437.1809364151322</v>
      </c>
      <c r="AO38" s="139">
        <v>101.08185835059112</v>
      </c>
      <c r="AP38" s="140">
        <v>219.19858523546242</v>
      </c>
      <c r="AQ38" s="140">
        <v>154.78097686967084</v>
      </c>
      <c r="AR38" s="139">
        <v>78.383761099066746</v>
      </c>
      <c r="AS38" s="141">
        <v>78.489998772424244</v>
      </c>
      <c r="AT38" s="122">
        <v>3069.1161167423475</v>
      </c>
      <c r="AU38" s="136">
        <v>3432.7811739527956</v>
      </c>
      <c r="AV38" s="142">
        <v>0.96</v>
      </c>
      <c r="AW38" s="143">
        <v>0</v>
      </c>
      <c r="AX38" s="213">
        <v>-0.54428311725237555</v>
      </c>
      <c r="AY38" s="214">
        <v>-2.8943168829968974E-2</v>
      </c>
      <c r="AZ38" s="214">
        <v>-7.3800818973715016E-2</v>
      </c>
      <c r="BA38" s="214">
        <v>-3.5602273004671857E-2</v>
      </c>
      <c r="BB38" s="203">
        <v>1.1538861902446025</v>
      </c>
      <c r="BC38" s="139">
        <v>249</v>
      </c>
      <c r="BD38" s="204">
        <v>0.9</v>
      </c>
      <c r="BE38" s="139">
        <v>18729.907801024532</v>
      </c>
      <c r="BF38" s="139">
        <v>11000</v>
      </c>
      <c r="BG38" s="205">
        <v>0.65</v>
      </c>
      <c r="BH38" s="205">
        <v>0.65</v>
      </c>
      <c r="BI38" s="204">
        <v>0.2</v>
      </c>
      <c r="BJ38" s="142">
        <v>0.6</v>
      </c>
      <c r="BK38" s="205">
        <v>0.2</v>
      </c>
      <c r="BL38" s="170"/>
    </row>
    <row r="39" spans="1:64" x14ac:dyDescent="0.2">
      <c r="A39" s="91">
        <v>35</v>
      </c>
      <c r="B39" s="132" t="s">
        <v>50</v>
      </c>
      <c r="C39" s="155">
        <v>3214900</v>
      </c>
      <c r="D39" s="155">
        <v>226100</v>
      </c>
      <c r="E39" s="155">
        <v>617200</v>
      </c>
      <c r="F39" s="155">
        <v>0</v>
      </c>
      <c r="G39" s="97"/>
      <c r="H39" s="97"/>
      <c r="I39" s="164">
        <v>0</v>
      </c>
      <c r="J39" s="164"/>
      <c r="K39" s="165">
        <v>0</v>
      </c>
      <c r="L39" s="166">
        <v>1.49</v>
      </c>
      <c r="M39" s="118">
        <v>1.49</v>
      </c>
      <c r="N39" s="133">
        <v>4738</v>
      </c>
      <c r="O39" s="133">
        <v>4820</v>
      </c>
      <c r="P39" s="167">
        <v>1431.3999999999999</v>
      </c>
      <c r="Q39" s="133">
        <v>16</v>
      </c>
      <c r="R39" s="168">
        <v>0</v>
      </c>
      <c r="S39" s="169">
        <v>3271.6750400000001</v>
      </c>
      <c r="T39" s="135">
        <v>590</v>
      </c>
      <c r="U39" s="97">
        <v>12</v>
      </c>
      <c r="V39" s="139">
        <v>0.91</v>
      </c>
      <c r="W39" s="136">
        <v>50445</v>
      </c>
      <c r="X39" s="123">
        <v>607542</v>
      </c>
      <c r="Y39" s="137">
        <v>302270.09999999998</v>
      </c>
      <c r="Z39" s="123">
        <v>2141.2722267575905</v>
      </c>
      <c r="AA39" s="123">
        <v>55.051156606162934</v>
      </c>
      <c r="AB39" s="123">
        <v>139.07376530181511</v>
      </c>
      <c r="AC39" s="123">
        <v>167.43097518264065</v>
      </c>
      <c r="AD39" s="123">
        <v>103.21709582102152</v>
      </c>
      <c r="AE39" s="123">
        <v>52.372150696496412</v>
      </c>
      <c r="AF39" s="122">
        <v>2658.4173703657266</v>
      </c>
      <c r="AG39" s="123">
        <v>2160.4146278613121</v>
      </c>
      <c r="AH39" s="123">
        <v>48.217520746887971</v>
      </c>
      <c r="AI39" s="123">
        <v>88.615975103734442</v>
      </c>
      <c r="AJ39" s="123">
        <v>161.62619409285827</v>
      </c>
      <c r="AK39" s="123">
        <v>52.873651452282161</v>
      </c>
      <c r="AL39" s="123">
        <v>63.690819502074689</v>
      </c>
      <c r="AM39" s="122">
        <v>2575.4387887591497</v>
      </c>
      <c r="AN39" s="138">
        <v>2150.8434273094513</v>
      </c>
      <c r="AO39" s="139">
        <v>51.634338676525452</v>
      </c>
      <c r="AP39" s="140">
        <v>113.84487020277479</v>
      </c>
      <c r="AQ39" s="140">
        <v>164.52858463774947</v>
      </c>
      <c r="AR39" s="139">
        <v>78.045373636651846</v>
      </c>
      <c r="AS39" s="141">
        <v>58.031485099285547</v>
      </c>
      <c r="AT39" s="122">
        <v>2616.9280795624386</v>
      </c>
      <c r="AU39" s="136">
        <v>3432.7811739527956</v>
      </c>
      <c r="AV39" s="142">
        <v>0.96</v>
      </c>
      <c r="AW39" s="143">
        <v>0</v>
      </c>
      <c r="AX39" s="213">
        <v>0.29930964321733106</v>
      </c>
      <c r="AY39" s="214">
        <v>-2.6662529589808522E-2</v>
      </c>
      <c r="AZ39" s="214">
        <v>-7.3800818973715016E-2</v>
      </c>
      <c r="BA39" s="214">
        <v>4.2668124926045867E-2</v>
      </c>
      <c r="BB39" s="203">
        <v>1.1538861902446025</v>
      </c>
      <c r="BC39" s="139">
        <v>249</v>
      </c>
      <c r="BD39" s="204">
        <v>0.9</v>
      </c>
      <c r="BE39" s="139">
        <v>18729.907801024532</v>
      </c>
      <c r="BF39" s="139">
        <v>11000</v>
      </c>
      <c r="BG39" s="205">
        <v>0.65</v>
      </c>
      <c r="BH39" s="205">
        <v>0.65</v>
      </c>
      <c r="BI39" s="204">
        <v>0.2</v>
      </c>
      <c r="BJ39" s="142">
        <v>0.6</v>
      </c>
      <c r="BK39" s="205">
        <v>0.2</v>
      </c>
      <c r="BL39" s="170"/>
    </row>
    <row r="40" spans="1:64" x14ac:dyDescent="0.2">
      <c r="A40" s="91">
        <v>36</v>
      </c>
      <c r="B40" s="132" t="s">
        <v>51</v>
      </c>
      <c r="C40" s="155">
        <v>0</v>
      </c>
      <c r="D40" s="155">
        <v>0</v>
      </c>
      <c r="E40" s="155">
        <v>0</v>
      </c>
      <c r="F40" s="155">
        <v>64100</v>
      </c>
      <c r="G40" s="97"/>
      <c r="H40" s="97"/>
      <c r="I40" s="164">
        <v>0</v>
      </c>
      <c r="J40" s="164"/>
      <c r="K40" s="165">
        <v>0</v>
      </c>
      <c r="L40" s="166">
        <v>1</v>
      </c>
      <c r="M40" s="118">
        <v>1</v>
      </c>
      <c r="N40" s="133">
        <v>5874</v>
      </c>
      <c r="O40" s="133">
        <v>5923</v>
      </c>
      <c r="P40" s="167">
        <v>1127.3142</v>
      </c>
      <c r="Q40" s="133">
        <v>10</v>
      </c>
      <c r="R40" s="168">
        <v>0</v>
      </c>
      <c r="S40" s="169">
        <v>2539.5592099999999</v>
      </c>
      <c r="T40" s="135">
        <v>572</v>
      </c>
      <c r="U40" s="97">
        <v>12</v>
      </c>
      <c r="V40" s="139">
        <v>0.94</v>
      </c>
      <c r="W40" s="136">
        <v>384145.10000000003</v>
      </c>
      <c r="X40" s="123">
        <v>579755.97</v>
      </c>
      <c r="Y40" s="137">
        <v>901413.2</v>
      </c>
      <c r="Z40" s="123">
        <v>2766.1588425669679</v>
      </c>
      <c r="AA40" s="123">
        <v>167.52770173646579</v>
      </c>
      <c r="AB40" s="123">
        <v>274.30551583248212</v>
      </c>
      <c r="AC40" s="123">
        <v>207.44239337314022</v>
      </c>
      <c r="AD40" s="123">
        <v>202.74072182499148</v>
      </c>
      <c r="AE40" s="123">
        <v>123.68277153558051</v>
      </c>
      <c r="AF40" s="122">
        <v>3741.8579468696271</v>
      </c>
      <c r="AG40" s="123">
        <v>2920.7843127331516</v>
      </c>
      <c r="AH40" s="123">
        <v>167.54282458213743</v>
      </c>
      <c r="AI40" s="123">
        <v>222.88554786425794</v>
      </c>
      <c r="AJ40" s="123">
        <v>213.48964484109214</v>
      </c>
      <c r="AK40" s="123">
        <v>137.52300354550059</v>
      </c>
      <c r="AL40" s="123">
        <v>178.52042039507006</v>
      </c>
      <c r="AM40" s="122">
        <v>3840.7457539612105</v>
      </c>
      <c r="AN40" s="138">
        <v>2843.4715776500598</v>
      </c>
      <c r="AO40" s="139">
        <v>167.53526315930162</v>
      </c>
      <c r="AP40" s="140">
        <v>248.59553184837003</v>
      </c>
      <c r="AQ40" s="140">
        <v>210.46601910711618</v>
      </c>
      <c r="AR40" s="139">
        <v>170.13186268524603</v>
      </c>
      <c r="AS40" s="141">
        <v>151.10159596532529</v>
      </c>
      <c r="AT40" s="122">
        <v>3791.3018504154193</v>
      </c>
      <c r="AU40" s="136">
        <v>3432.7811739527956</v>
      </c>
      <c r="AV40" s="142">
        <v>0.96</v>
      </c>
      <c r="AW40" s="143">
        <v>-0.52220147206440304</v>
      </c>
      <c r="AX40" s="213">
        <v>-0.34068731728885154</v>
      </c>
      <c r="AY40" s="214">
        <v>-2.7783211762438444E-2</v>
      </c>
      <c r="AZ40" s="214">
        <v>-7.3800818973715016E-2</v>
      </c>
      <c r="BA40" s="214">
        <v>5.3299222949971924E-3</v>
      </c>
      <c r="BB40" s="203">
        <v>1.1538861902446025</v>
      </c>
      <c r="BC40" s="139">
        <v>249</v>
      </c>
      <c r="BD40" s="204">
        <v>0.9</v>
      </c>
      <c r="BE40" s="139">
        <v>18729.907801024532</v>
      </c>
      <c r="BF40" s="139">
        <v>11000</v>
      </c>
      <c r="BG40" s="205">
        <v>0.65</v>
      </c>
      <c r="BH40" s="205">
        <v>0.65</v>
      </c>
      <c r="BI40" s="204">
        <v>0.2</v>
      </c>
      <c r="BJ40" s="142">
        <v>0.6</v>
      </c>
      <c r="BK40" s="205">
        <v>0.2</v>
      </c>
      <c r="BL40" s="170"/>
    </row>
    <row r="41" spans="1:64" x14ac:dyDescent="0.2">
      <c r="A41" s="91">
        <v>37</v>
      </c>
      <c r="B41" s="132" t="s">
        <v>52</v>
      </c>
      <c r="C41" s="155">
        <v>1310700</v>
      </c>
      <c r="D41" s="155">
        <v>2368700</v>
      </c>
      <c r="E41" s="155">
        <v>195000</v>
      </c>
      <c r="F41" s="155">
        <v>0</v>
      </c>
      <c r="G41" s="97"/>
      <c r="H41" s="97"/>
      <c r="I41" s="164">
        <v>0</v>
      </c>
      <c r="J41" s="164"/>
      <c r="K41" s="165">
        <v>0</v>
      </c>
      <c r="L41" s="166">
        <v>1.52</v>
      </c>
      <c r="M41" s="118">
        <v>1.52</v>
      </c>
      <c r="N41" s="133">
        <v>1572</v>
      </c>
      <c r="O41" s="133">
        <v>1574</v>
      </c>
      <c r="P41" s="167">
        <v>1859.6064000000001</v>
      </c>
      <c r="Q41" s="133">
        <v>1488</v>
      </c>
      <c r="R41" s="168">
        <v>10487.402005071701</v>
      </c>
      <c r="S41" s="169">
        <v>12846.14062</v>
      </c>
      <c r="T41" s="135">
        <v>193</v>
      </c>
      <c r="U41" s="97">
        <v>0</v>
      </c>
      <c r="V41" s="139">
        <v>0.88</v>
      </c>
      <c r="W41" s="136">
        <v>1192.05</v>
      </c>
      <c r="X41" s="123">
        <v>138207.95000000001</v>
      </c>
      <c r="Y41" s="137">
        <v>242828.6</v>
      </c>
      <c r="Z41" s="123">
        <v>1765.1464879420994</v>
      </c>
      <c r="AA41" s="123">
        <v>274.14633587786255</v>
      </c>
      <c r="AB41" s="123">
        <v>68.707601781170482</v>
      </c>
      <c r="AC41" s="123">
        <v>245.81285615408629</v>
      </c>
      <c r="AD41" s="123">
        <v>58.904484732824429</v>
      </c>
      <c r="AE41" s="123">
        <v>23.717143765903305</v>
      </c>
      <c r="AF41" s="122">
        <v>2436.4349102539468</v>
      </c>
      <c r="AG41" s="123">
        <v>1848.7153841665097</v>
      </c>
      <c r="AH41" s="123">
        <v>259.932623888183</v>
      </c>
      <c r="AI41" s="123">
        <v>51.005273189326552</v>
      </c>
      <c r="AJ41" s="123">
        <v>240.25288868712465</v>
      </c>
      <c r="AK41" s="123">
        <v>65.126207115628972</v>
      </c>
      <c r="AL41" s="123">
        <v>21.919155019059719</v>
      </c>
      <c r="AM41" s="122">
        <v>2486.9515320658325</v>
      </c>
      <c r="AN41" s="138">
        <v>1806.9309360543045</v>
      </c>
      <c r="AO41" s="139">
        <v>267.03947988302275</v>
      </c>
      <c r="AP41" s="140">
        <v>59.85643748524852</v>
      </c>
      <c r="AQ41" s="140">
        <v>243.03287242060549</v>
      </c>
      <c r="AR41" s="139">
        <v>62.0153459242267</v>
      </c>
      <c r="AS41" s="141">
        <v>22.818149392481512</v>
      </c>
      <c r="AT41" s="122">
        <v>2461.6932211598896</v>
      </c>
      <c r="AU41" s="136">
        <v>3432.7811739527956</v>
      </c>
      <c r="AV41" s="142">
        <v>0.96</v>
      </c>
      <c r="AW41" s="143">
        <v>0</v>
      </c>
      <c r="AX41" s="213">
        <v>5.6073665718074182</v>
      </c>
      <c r="AY41" s="214">
        <v>0.62056086280556089</v>
      </c>
      <c r="AZ41" s="214">
        <v>0.36066755604791106</v>
      </c>
      <c r="BA41" s="214">
        <v>1.1601913240868298</v>
      </c>
      <c r="BB41" s="203">
        <v>1.1538861902446025</v>
      </c>
      <c r="BC41" s="139">
        <v>249</v>
      </c>
      <c r="BD41" s="204">
        <v>0.9</v>
      </c>
      <c r="BE41" s="139">
        <v>18729.907801024532</v>
      </c>
      <c r="BF41" s="139">
        <v>11000</v>
      </c>
      <c r="BG41" s="205">
        <v>0.65</v>
      </c>
      <c r="BH41" s="205">
        <v>0.65</v>
      </c>
      <c r="BI41" s="204">
        <v>0.2</v>
      </c>
      <c r="BJ41" s="142">
        <v>0.6</v>
      </c>
      <c r="BK41" s="205">
        <v>0.2</v>
      </c>
      <c r="BL41" s="170"/>
    </row>
    <row r="42" spans="1:64" x14ac:dyDescent="0.2">
      <c r="A42" s="91">
        <v>38</v>
      </c>
      <c r="B42" s="132" t="s">
        <v>53</v>
      </c>
      <c r="C42" s="155">
        <v>5515800</v>
      </c>
      <c r="D42" s="155">
        <v>1289800</v>
      </c>
      <c r="E42" s="155">
        <v>1663700</v>
      </c>
      <c r="F42" s="155">
        <v>0</v>
      </c>
      <c r="G42" s="97"/>
      <c r="H42" s="97"/>
      <c r="I42" s="164">
        <v>0</v>
      </c>
      <c r="J42" s="164"/>
      <c r="K42" s="165">
        <v>0</v>
      </c>
      <c r="L42" s="166">
        <v>1.33</v>
      </c>
      <c r="M42" s="118">
        <v>1.33</v>
      </c>
      <c r="N42" s="133">
        <v>8605</v>
      </c>
      <c r="O42" s="133">
        <v>8610</v>
      </c>
      <c r="P42" s="167">
        <v>3086.5011999999997</v>
      </c>
      <c r="Q42" s="133">
        <v>289</v>
      </c>
      <c r="R42" s="168">
        <v>0</v>
      </c>
      <c r="S42" s="169">
        <v>13910.56006</v>
      </c>
      <c r="T42" s="135">
        <v>1094</v>
      </c>
      <c r="U42" s="97">
        <v>16</v>
      </c>
      <c r="V42" s="139">
        <v>0.95</v>
      </c>
      <c r="W42" s="136">
        <v>57341.8</v>
      </c>
      <c r="X42" s="123">
        <v>788431.89000000013</v>
      </c>
      <c r="Y42" s="137">
        <v>1420775.0499999998</v>
      </c>
      <c r="Z42" s="123">
        <v>2079.4840034984622</v>
      </c>
      <c r="AA42" s="123">
        <v>38.637435212085997</v>
      </c>
      <c r="AB42" s="123">
        <v>189.69812899477049</v>
      </c>
      <c r="AC42" s="123">
        <v>170.09545416459659</v>
      </c>
      <c r="AD42" s="123">
        <v>66.50736780941314</v>
      </c>
      <c r="AE42" s="123">
        <v>50.779221382916909</v>
      </c>
      <c r="AF42" s="122">
        <v>2595.2016110622453</v>
      </c>
      <c r="AG42" s="123">
        <v>2117.9027250689369</v>
      </c>
      <c r="AH42" s="123">
        <v>43.545348432055754</v>
      </c>
      <c r="AI42" s="123">
        <v>187.92741579558654</v>
      </c>
      <c r="AJ42" s="123">
        <v>171.90177672268473</v>
      </c>
      <c r="AK42" s="123">
        <v>108.33527293844367</v>
      </c>
      <c r="AL42" s="123">
        <v>84.119657375145181</v>
      </c>
      <c r="AM42" s="122">
        <v>2713.7321963328527</v>
      </c>
      <c r="AN42" s="138">
        <v>2098.6933642836993</v>
      </c>
      <c r="AO42" s="139">
        <v>41.091391822070875</v>
      </c>
      <c r="AP42" s="140">
        <v>188.81277239517851</v>
      </c>
      <c r="AQ42" s="140">
        <v>170.99861544364066</v>
      </c>
      <c r="AR42" s="139">
        <v>87.42132037392841</v>
      </c>
      <c r="AS42" s="141">
        <v>67.449439379031048</v>
      </c>
      <c r="AT42" s="122">
        <v>2654.4669036975483</v>
      </c>
      <c r="AU42" s="136">
        <v>3432.7811739527956</v>
      </c>
      <c r="AV42" s="142">
        <v>0.96</v>
      </c>
      <c r="AW42" s="143">
        <v>0</v>
      </c>
      <c r="AX42" s="213">
        <v>0.66843698953807473</v>
      </c>
      <c r="AY42" s="214">
        <v>-5.8821580230678013E-3</v>
      </c>
      <c r="AZ42" s="214">
        <v>-7.3800818973715016E-2</v>
      </c>
      <c r="BA42" s="214">
        <v>0.18258571719375655</v>
      </c>
      <c r="BB42" s="203">
        <v>1.1538861902446025</v>
      </c>
      <c r="BC42" s="139">
        <v>249</v>
      </c>
      <c r="BD42" s="204">
        <v>0.9</v>
      </c>
      <c r="BE42" s="139">
        <v>18729.907801024532</v>
      </c>
      <c r="BF42" s="139">
        <v>11000</v>
      </c>
      <c r="BG42" s="205">
        <v>0.65</v>
      </c>
      <c r="BH42" s="205">
        <v>0.65</v>
      </c>
      <c r="BI42" s="204">
        <v>0.2</v>
      </c>
      <c r="BJ42" s="142">
        <v>0.6</v>
      </c>
      <c r="BK42" s="205">
        <v>0.2</v>
      </c>
      <c r="BL42" s="170"/>
    </row>
    <row r="43" spans="1:64" x14ac:dyDescent="0.2">
      <c r="A43" s="91">
        <v>39</v>
      </c>
      <c r="B43" s="132" t="s">
        <v>54</v>
      </c>
      <c r="C43" s="155">
        <v>3453800</v>
      </c>
      <c r="D43" s="155">
        <v>1115400</v>
      </c>
      <c r="E43" s="155">
        <v>0</v>
      </c>
      <c r="F43" s="155">
        <v>22600</v>
      </c>
      <c r="G43" s="97"/>
      <c r="H43" s="97"/>
      <c r="I43" s="164">
        <v>0</v>
      </c>
      <c r="J43" s="164"/>
      <c r="K43" s="165">
        <v>0</v>
      </c>
      <c r="L43" s="166">
        <v>1.49</v>
      </c>
      <c r="M43" s="118">
        <v>1.47</v>
      </c>
      <c r="N43" s="133">
        <v>4919</v>
      </c>
      <c r="O43" s="133">
        <v>4941</v>
      </c>
      <c r="P43" s="167">
        <v>2045.4407999999999</v>
      </c>
      <c r="Q43" s="133">
        <v>684</v>
      </c>
      <c r="R43" s="168">
        <v>0</v>
      </c>
      <c r="S43" s="169">
        <v>7515.4821499999998</v>
      </c>
      <c r="T43" s="135">
        <v>527</v>
      </c>
      <c r="U43" s="97">
        <v>11</v>
      </c>
      <c r="V43" s="139">
        <v>0.99</v>
      </c>
      <c r="W43" s="136">
        <v>113715.5</v>
      </c>
      <c r="X43" s="123">
        <v>786661.85</v>
      </c>
      <c r="Y43" s="137">
        <v>763960.35</v>
      </c>
      <c r="Z43" s="123">
        <v>1885.5683269451551</v>
      </c>
      <c r="AA43" s="123">
        <v>68.832520837568623</v>
      </c>
      <c r="AB43" s="123">
        <v>210.75366944500914</v>
      </c>
      <c r="AC43" s="123">
        <v>183.74328314272091</v>
      </c>
      <c r="AD43" s="123">
        <v>86.908782272819678</v>
      </c>
      <c r="AE43" s="123">
        <v>98.796645659686931</v>
      </c>
      <c r="AF43" s="122">
        <v>2534.6032283029604</v>
      </c>
      <c r="AG43" s="123">
        <v>1977.4694408478106</v>
      </c>
      <c r="AH43" s="123">
        <v>65.716110099170223</v>
      </c>
      <c r="AI43" s="123">
        <v>225.92380085003035</v>
      </c>
      <c r="AJ43" s="123">
        <v>186.85200336811556</v>
      </c>
      <c r="AK43" s="123">
        <v>118.34663023679416</v>
      </c>
      <c r="AL43" s="123">
        <v>77.763914187411459</v>
      </c>
      <c r="AM43" s="122">
        <v>2652.0718995893326</v>
      </c>
      <c r="AN43" s="138">
        <v>1931.5188838964827</v>
      </c>
      <c r="AO43" s="139">
        <v>67.274315468369423</v>
      </c>
      <c r="AP43" s="140">
        <v>218.33873514751974</v>
      </c>
      <c r="AQ43" s="140">
        <v>185.29764325541822</v>
      </c>
      <c r="AR43" s="139">
        <v>102.62770625480692</v>
      </c>
      <c r="AS43" s="141">
        <v>88.280279923549188</v>
      </c>
      <c r="AT43" s="122">
        <v>2593.3375639461465</v>
      </c>
      <c r="AU43" s="136">
        <v>3432.7811739527956</v>
      </c>
      <c r="AV43" s="142">
        <v>0.96</v>
      </c>
      <c r="AW43" s="143">
        <v>0</v>
      </c>
      <c r="AX43" s="213">
        <v>1.0014765463767286</v>
      </c>
      <c r="AY43" s="214">
        <v>6.6166549573443659E-2</v>
      </c>
      <c r="AZ43" s="214">
        <v>-7.3800818973715016E-2</v>
      </c>
      <c r="BA43" s="214">
        <v>0.16845986922704378</v>
      </c>
      <c r="BB43" s="203">
        <v>1.1538861902446025</v>
      </c>
      <c r="BC43" s="139">
        <v>249</v>
      </c>
      <c r="BD43" s="204">
        <v>0.9</v>
      </c>
      <c r="BE43" s="139">
        <v>18729.907801024532</v>
      </c>
      <c r="BF43" s="139">
        <v>11000</v>
      </c>
      <c r="BG43" s="205">
        <v>0.65</v>
      </c>
      <c r="BH43" s="205">
        <v>0.65</v>
      </c>
      <c r="BI43" s="204">
        <v>0.2</v>
      </c>
      <c r="BJ43" s="142">
        <v>0.6</v>
      </c>
      <c r="BK43" s="205">
        <v>0.2</v>
      </c>
      <c r="BL43" s="170"/>
    </row>
    <row r="44" spans="1:64" x14ac:dyDescent="0.2">
      <c r="A44" s="91">
        <v>40</v>
      </c>
      <c r="B44" s="132" t="s">
        <v>55</v>
      </c>
      <c r="C44" s="155">
        <v>1982900</v>
      </c>
      <c r="D44" s="155">
        <v>20700</v>
      </c>
      <c r="E44" s="155">
        <v>389600</v>
      </c>
      <c r="F44" s="155">
        <v>0</v>
      </c>
      <c r="G44" s="97"/>
      <c r="H44" s="97"/>
      <c r="I44" s="164">
        <v>0</v>
      </c>
      <c r="J44" s="164"/>
      <c r="K44" s="165">
        <v>0</v>
      </c>
      <c r="L44" s="166">
        <v>1.36</v>
      </c>
      <c r="M44" s="118">
        <v>1.36</v>
      </c>
      <c r="N44" s="133">
        <v>5590</v>
      </c>
      <c r="O44" s="133">
        <v>5598</v>
      </c>
      <c r="P44" s="167">
        <v>1308.1969999999999</v>
      </c>
      <c r="Q44" s="133">
        <v>151</v>
      </c>
      <c r="R44" s="168">
        <v>2706.9065519239198</v>
      </c>
      <c r="S44" s="169">
        <v>4884.1079399999999</v>
      </c>
      <c r="T44" s="135">
        <v>655</v>
      </c>
      <c r="U44" s="97">
        <v>11</v>
      </c>
      <c r="V44" s="139">
        <v>0.94</v>
      </c>
      <c r="W44" s="136">
        <v>169334.5</v>
      </c>
      <c r="X44" s="123">
        <v>686592.11</v>
      </c>
      <c r="Y44" s="137">
        <v>720677.4</v>
      </c>
      <c r="Z44" s="123">
        <v>2288.6609932271922</v>
      </c>
      <c r="AA44" s="123">
        <v>81.212715563506265</v>
      </c>
      <c r="AB44" s="123">
        <v>107.34733452593917</v>
      </c>
      <c r="AC44" s="123">
        <v>159.40612823278923</v>
      </c>
      <c r="AD44" s="123">
        <v>133.10236135957066</v>
      </c>
      <c r="AE44" s="123">
        <v>130.66837209302327</v>
      </c>
      <c r="AF44" s="122">
        <v>2900.3979050020207</v>
      </c>
      <c r="AG44" s="123">
        <v>2366.5507466119811</v>
      </c>
      <c r="AH44" s="123">
        <v>84.589531975705597</v>
      </c>
      <c r="AI44" s="123">
        <v>141.04736513040373</v>
      </c>
      <c r="AJ44" s="123">
        <v>167.90380856300752</v>
      </c>
      <c r="AK44" s="123">
        <v>92.661638085030361</v>
      </c>
      <c r="AL44" s="123">
        <v>128.32904608788854</v>
      </c>
      <c r="AM44" s="122">
        <v>2981.082136454017</v>
      </c>
      <c r="AN44" s="138">
        <v>2327.6058699195864</v>
      </c>
      <c r="AO44" s="139">
        <v>82.901123769605931</v>
      </c>
      <c r="AP44" s="140">
        <v>124.19734982817145</v>
      </c>
      <c r="AQ44" s="140">
        <v>163.65496839789836</v>
      </c>
      <c r="AR44" s="139">
        <v>112.88199972230052</v>
      </c>
      <c r="AS44" s="141">
        <v>129.49870909045592</v>
      </c>
      <c r="AT44" s="122">
        <v>2940.7400207280184</v>
      </c>
      <c r="AU44" s="136">
        <v>3432.7811739527956</v>
      </c>
      <c r="AV44" s="142">
        <v>0.96</v>
      </c>
      <c r="AW44" s="143">
        <v>0</v>
      </c>
      <c r="AX44" s="213">
        <v>-8.045917134686538E-2</v>
      </c>
      <c r="AY44" s="214">
        <v>-1.0410937991124971E-2</v>
      </c>
      <c r="AZ44" s="214">
        <v>3.8339946716494426E-2</v>
      </c>
      <c r="BA44" s="214">
        <v>7.159723229527179E-2</v>
      </c>
      <c r="BB44" s="203">
        <v>1.1538861902446025</v>
      </c>
      <c r="BC44" s="139">
        <v>249</v>
      </c>
      <c r="BD44" s="204">
        <v>0.9</v>
      </c>
      <c r="BE44" s="139">
        <v>18729.907801024532</v>
      </c>
      <c r="BF44" s="139">
        <v>11000</v>
      </c>
      <c r="BG44" s="205">
        <v>0.65</v>
      </c>
      <c r="BH44" s="205">
        <v>0.65</v>
      </c>
      <c r="BI44" s="204">
        <v>0.2</v>
      </c>
      <c r="BJ44" s="142">
        <v>0.6</v>
      </c>
      <c r="BK44" s="205">
        <v>0.2</v>
      </c>
      <c r="BL44" s="170"/>
    </row>
    <row r="45" spans="1:64" x14ac:dyDescent="0.2">
      <c r="A45" s="91">
        <v>41</v>
      </c>
      <c r="B45" s="132" t="s">
        <v>56</v>
      </c>
      <c r="C45" s="155">
        <v>759300</v>
      </c>
      <c r="D45" s="155">
        <v>489300</v>
      </c>
      <c r="E45" s="155">
        <v>0</v>
      </c>
      <c r="F45" s="155">
        <v>25400</v>
      </c>
      <c r="G45" s="97"/>
      <c r="H45" s="97"/>
      <c r="I45" s="164">
        <v>0</v>
      </c>
      <c r="J45" s="164"/>
      <c r="K45" s="165">
        <v>0</v>
      </c>
      <c r="L45" s="166">
        <v>1.32</v>
      </c>
      <c r="M45" s="118">
        <v>1.32</v>
      </c>
      <c r="N45" s="133">
        <v>2873</v>
      </c>
      <c r="O45" s="133">
        <v>2877</v>
      </c>
      <c r="P45" s="167">
        <v>948.55500000000006</v>
      </c>
      <c r="Q45" s="133">
        <v>116</v>
      </c>
      <c r="R45" s="168">
        <v>3227.3242558070601</v>
      </c>
      <c r="S45" s="169">
        <v>7321.0383699999993</v>
      </c>
      <c r="T45" s="135">
        <v>286</v>
      </c>
      <c r="U45" s="97">
        <v>9</v>
      </c>
      <c r="V45" s="139">
        <v>0.93</v>
      </c>
      <c r="W45" s="136">
        <v>26526</v>
      </c>
      <c r="X45" s="123">
        <v>99220.950000000012</v>
      </c>
      <c r="Y45" s="137">
        <v>584934.70000000007</v>
      </c>
      <c r="Z45" s="123">
        <v>2317.6773635722375</v>
      </c>
      <c r="AA45" s="123">
        <v>29.924472676644626</v>
      </c>
      <c r="AB45" s="123">
        <v>59.104664114166383</v>
      </c>
      <c r="AC45" s="123">
        <v>239.46303645003661</v>
      </c>
      <c r="AD45" s="123">
        <v>100.63912286808215</v>
      </c>
      <c r="AE45" s="123">
        <v>105.88607727114515</v>
      </c>
      <c r="AF45" s="122">
        <v>2852.6947369523127</v>
      </c>
      <c r="AG45" s="123">
        <v>2471.2159840747863</v>
      </c>
      <c r="AH45" s="123">
        <v>80.439920055613484</v>
      </c>
      <c r="AI45" s="123">
        <v>89.368613138686129</v>
      </c>
      <c r="AJ45" s="123">
        <v>244.28779506530489</v>
      </c>
      <c r="AK45" s="123">
        <v>139.32843239485575</v>
      </c>
      <c r="AL45" s="123">
        <v>185.02141119221412</v>
      </c>
      <c r="AM45" s="122">
        <v>3209.6621559214609</v>
      </c>
      <c r="AN45" s="138">
        <v>2394.4466738235119</v>
      </c>
      <c r="AO45" s="139">
        <v>55.182196366129055</v>
      </c>
      <c r="AP45" s="140">
        <v>74.236638626426256</v>
      </c>
      <c r="AQ45" s="140">
        <v>241.87541575767074</v>
      </c>
      <c r="AR45" s="139">
        <v>119.98377763146895</v>
      </c>
      <c r="AS45" s="141">
        <v>145.45374423167965</v>
      </c>
      <c r="AT45" s="122">
        <v>3031.1784464368866</v>
      </c>
      <c r="AU45" s="136">
        <v>3432.7811739527956</v>
      </c>
      <c r="AV45" s="142">
        <v>0.96</v>
      </c>
      <c r="AW45" s="143">
        <v>0</v>
      </c>
      <c r="AX45" s="213">
        <v>0.49574399759530624</v>
      </c>
      <c r="AY45" s="214">
        <v>-1.2417651986144484E-3</v>
      </c>
      <c r="AZ45" s="214">
        <v>5.9899626990908374E-2</v>
      </c>
      <c r="BA45" s="214">
        <v>0.32133719922437909</v>
      </c>
      <c r="BB45" s="203">
        <v>1.1538861902446025</v>
      </c>
      <c r="BC45" s="139">
        <v>249</v>
      </c>
      <c r="BD45" s="204">
        <v>0.9</v>
      </c>
      <c r="BE45" s="139">
        <v>18729.907801024532</v>
      </c>
      <c r="BF45" s="139">
        <v>11000</v>
      </c>
      <c r="BG45" s="205">
        <v>0.65</v>
      </c>
      <c r="BH45" s="205">
        <v>0.65</v>
      </c>
      <c r="BI45" s="204">
        <v>0.2</v>
      </c>
      <c r="BJ45" s="142">
        <v>0.6</v>
      </c>
      <c r="BK45" s="205">
        <v>0.2</v>
      </c>
      <c r="BL45" s="170"/>
    </row>
    <row r="46" spans="1:64" x14ac:dyDescent="0.2">
      <c r="A46" s="91">
        <v>42</v>
      </c>
      <c r="B46" s="132" t="s">
        <v>57</v>
      </c>
      <c r="C46" s="155">
        <v>0</v>
      </c>
      <c r="D46" s="155">
        <v>439500</v>
      </c>
      <c r="E46" s="155">
        <v>0</v>
      </c>
      <c r="F46" s="155">
        <v>0</v>
      </c>
      <c r="G46" s="97"/>
      <c r="H46" s="97"/>
      <c r="I46" s="164">
        <v>0</v>
      </c>
      <c r="J46" s="164"/>
      <c r="K46" s="165">
        <v>0</v>
      </c>
      <c r="L46" s="166">
        <v>1.25</v>
      </c>
      <c r="M46" s="118">
        <v>1.25</v>
      </c>
      <c r="N46" s="133">
        <v>1793</v>
      </c>
      <c r="O46" s="133">
        <v>1784</v>
      </c>
      <c r="P46" s="167">
        <v>1536.537</v>
      </c>
      <c r="Q46" s="133">
        <v>1367</v>
      </c>
      <c r="R46" s="168">
        <v>0</v>
      </c>
      <c r="S46" s="169">
        <v>4761.8225899999998</v>
      </c>
      <c r="T46" s="135">
        <v>170</v>
      </c>
      <c r="U46" s="97">
        <v>2</v>
      </c>
      <c r="V46" s="139">
        <v>0.84</v>
      </c>
      <c r="W46" s="136">
        <v>0</v>
      </c>
      <c r="X46" s="123">
        <v>115673.95</v>
      </c>
      <c r="Y46" s="137">
        <v>145406.39999999999</v>
      </c>
      <c r="Z46" s="123">
        <v>3216.2846348201101</v>
      </c>
      <c r="AA46" s="123">
        <v>47.846603457891796</v>
      </c>
      <c r="AB46" s="123">
        <v>30.381232571109869</v>
      </c>
      <c r="AC46" s="123">
        <v>229.6755760127553</v>
      </c>
      <c r="AD46" s="123">
        <v>143.40326268823202</v>
      </c>
      <c r="AE46" s="123">
        <v>109.44375348577802</v>
      </c>
      <c r="AF46" s="122">
        <v>3777.0350630358771</v>
      </c>
      <c r="AG46" s="123">
        <v>3335.5608082438398</v>
      </c>
      <c r="AH46" s="123">
        <v>75.065667040358747</v>
      </c>
      <c r="AI46" s="123">
        <v>59.256165919282509</v>
      </c>
      <c r="AJ46" s="123">
        <v>241.15020983967912</v>
      </c>
      <c r="AK46" s="123">
        <v>162.05605381165918</v>
      </c>
      <c r="AL46" s="123">
        <v>197.0876961883408</v>
      </c>
      <c r="AM46" s="122">
        <v>4070.1766010431602</v>
      </c>
      <c r="AN46" s="138">
        <v>3275.9227215319752</v>
      </c>
      <c r="AO46" s="139">
        <v>61.456135249125268</v>
      </c>
      <c r="AP46" s="140">
        <v>44.818699245196186</v>
      </c>
      <c r="AQ46" s="140">
        <v>235.41289292621721</v>
      </c>
      <c r="AR46" s="139">
        <v>152.7296582499456</v>
      </c>
      <c r="AS46" s="141">
        <v>153.26572483705939</v>
      </c>
      <c r="AT46" s="122">
        <v>3923.6058320395186</v>
      </c>
      <c r="AU46" s="136">
        <v>3432.7811739527956</v>
      </c>
      <c r="AV46" s="142">
        <v>0.96</v>
      </c>
      <c r="AW46" s="143">
        <v>-0.71490816515045408</v>
      </c>
      <c r="AX46" s="213">
        <v>3.6859538386721411</v>
      </c>
      <c r="AY46" s="214">
        <v>0.49750705240961923</v>
      </c>
      <c r="AZ46" s="214">
        <v>-7.3800818973715016E-2</v>
      </c>
      <c r="BA46" s="214">
        <v>0.3399317654915987</v>
      </c>
      <c r="BB46" s="203">
        <v>1.1538861902446025</v>
      </c>
      <c r="BC46" s="139">
        <v>249</v>
      </c>
      <c r="BD46" s="204">
        <v>0.9</v>
      </c>
      <c r="BE46" s="139">
        <v>18729.907801024532</v>
      </c>
      <c r="BF46" s="139">
        <v>11000</v>
      </c>
      <c r="BG46" s="205">
        <v>0.65</v>
      </c>
      <c r="BH46" s="205">
        <v>0.65</v>
      </c>
      <c r="BI46" s="204">
        <v>0.2</v>
      </c>
      <c r="BJ46" s="142">
        <v>0.6</v>
      </c>
      <c r="BK46" s="205">
        <v>0.2</v>
      </c>
      <c r="BL46" s="170"/>
    </row>
    <row r="47" spans="1:64" x14ac:dyDescent="0.2">
      <c r="A47" s="91">
        <v>43</v>
      </c>
      <c r="B47" s="132" t="s">
        <v>58</v>
      </c>
      <c r="C47" s="155">
        <v>0</v>
      </c>
      <c r="D47" s="155">
        <v>0</v>
      </c>
      <c r="E47" s="155">
        <v>19400</v>
      </c>
      <c r="F47" s="155">
        <v>11900</v>
      </c>
      <c r="G47" s="97"/>
      <c r="H47" s="97"/>
      <c r="I47" s="164">
        <v>0</v>
      </c>
      <c r="J47" s="164"/>
      <c r="K47" s="165">
        <v>0</v>
      </c>
      <c r="L47" s="166">
        <v>1.4</v>
      </c>
      <c r="M47" s="118">
        <v>1.4</v>
      </c>
      <c r="N47" s="133">
        <v>1635</v>
      </c>
      <c r="O47" s="133">
        <v>1646</v>
      </c>
      <c r="P47" s="167">
        <v>300.45599999999996</v>
      </c>
      <c r="Q47" s="133">
        <v>15</v>
      </c>
      <c r="R47" s="168">
        <v>0</v>
      </c>
      <c r="S47" s="169">
        <v>574.88238999999999</v>
      </c>
      <c r="T47" s="135">
        <v>187</v>
      </c>
      <c r="U47" s="97">
        <v>5</v>
      </c>
      <c r="V47" s="139">
        <v>0.9</v>
      </c>
      <c r="W47" s="136">
        <v>62971.65</v>
      </c>
      <c r="X47" s="123">
        <v>316665.70999999996</v>
      </c>
      <c r="Y47" s="137">
        <v>232591.05</v>
      </c>
      <c r="Z47" s="123">
        <v>2951.4374199886279</v>
      </c>
      <c r="AA47" s="123">
        <v>69.937571865443417</v>
      </c>
      <c r="AB47" s="123">
        <v>50.437981651376148</v>
      </c>
      <c r="AC47" s="123">
        <v>192.2847321026197</v>
      </c>
      <c r="AD47" s="123">
        <v>282.28351681957184</v>
      </c>
      <c r="AE47" s="123">
        <v>146.36697247706422</v>
      </c>
      <c r="AF47" s="122">
        <v>3692.7481949047033</v>
      </c>
      <c r="AG47" s="123">
        <v>3051.4840064907562</v>
      </c>
      <c r="AH47" s="123">
        <v>64.380194410692582</v>
      </c>
      <c r="AI47" s="123">
        <v>285.37436208991494</v>
      </c>
      <c r="AJ47" s="123">
        <v>193.71000775589621</v>
      </c>
      <c r="AK47" s="123">
        <v>184.8154617253949</v>
      </c>
      <c r="AL47" s="123">
        <v>74.132958687727822</v>
      </c>
      <c r="AM47" s="122">
        <v>3853.8969911603826</v>
      </c>
      <c r="AN47" s="138">
        <v>3001.4607132396923</v>
      </c>
      <c r="AO47" s="139">
        <v>67.158883138068006</v>
      </c>
      <c r="AP47" s="140">
        <v>167.90617187064555</v>
      </c>
      <c r="AQ47" s="140">
        <v>192.99736992925796</v>
      </c>
      <c r="AR47" s="139">
        <v>233.54948927248336</v>
      </c>
      <c r="AS47" s="141">
        <v>110.24996558239602</v>
      </c>
      <c r="AT47" s="122">
        <v>3773.322593032543</v>
      </c>
      <c r="AU47" s="136">
        <v>3432.7811739527956</v>
      </c>
      <c r="AV47" s="142">
        <v>0.96</v>
      </c>
      <c r="AW47" s="143">
        <v>-0.49601387595530788</v>
      </c>
      <c r="AX47" s="213">
        <v>-0.38744471503689071</v>
      </c>
      <c r="AY47" s="214">
        <v>-2.2682149044747205E-2</v>
      </c>
      <c r="AZ47" s="214">
        <v>-7.3800818973715016E-2</v>
      </c>
      <c r="BA47" s="214">
        <v>-6.5435326265842492E-3</v>
      </c>
      <c r="BB47" s="203">
        <v>1.1538861902446025</v>
      </c>
      <c r="BC47" s="139">
        <v>249</v>
      </c>
      <c r="BD47" s="204">
        <v>0.9</v>
      </c>
      <c r="BE47" s="139">
        <v>18729.907801024532</v>
      </c>
      <c r="BF47" s="139">
        <v>11000</v>
      </c>
      <c r="BG47" s="205">
        <v>0.65</v>
      </c>
      <c r="BH47" s="205">
        <v>0.65</v>
      </c>
      <c r="BI47" s="204">
        <v>0.2</v>
      </c>
      <c r="BJ47" s="142">
        <v>0.6</v>
      </c>
      <c r="BK47" s="205">
        <v>0.2</v>
      </c>
      <c r="BL47" s="170"/>
    </row>
    <row r="48" spans="1:64" x14ac:dyDescent="0.2">
      <c r="A48" s="91">
        <v>44</v>
      </c>
      <c r="B48" s="132" t="s">
        <v>59</v>
      </c>
      <c r="C48" s="155">
        <v>2439400</v>
      </c>
      <c r="D48" s="155">
        <v>380400</v>
      </c>
      <c r="E48" s="155">
        <v>380200</v>
      </c>
      <c r="F48" s="155">
        <v>0</v>
      </c>
      <c r="G48" s="97"/>
      <c r="H48" s="97"/>
      <c r="I48" s="164">
        <v>0</v>
      </c>
      <c r="J48" s="164"/>
      <c r="K48" s="165">
        <v>0</v>
      </c>
      <c r="L48" s="166">
        <v>1.45</v>
      </c>
      <c r="M48" s="118">
        <v>1.38</v>
      </c>
      <c r="N48" s="133">
        <v>3758</v>
      </c>
      <c r="O48" s="133">
        <v>3812</v>
      </c>
      <c r="P48" s="167">
        <v>1270.538</v>
      </c>
      <c r="Q48" s="133">
        <v>9</v>
      </c>
      <c r="R48" s="168">
        <v>0</v>
      </c>
      <c r="S48" s="169">
        <v>3990.4293299999999</v>
      </c>
      <c r="T48" s="135">
        <v>457</v>
      </c>
      <c r="U48" s="97">
        <v>11</v>
      </c>
      <c r="V48" s="139">
        <v>0.91</v>
      </c>
      <c r="W48" s="136">
        <v>12744</v>
      </c>
      <c r="X48" s="123">
        <v>622516.66999999993</v>
      </c>
      <c r="Y48" s="137">
        <v>430596.45</v>
      </c>
      <c r="Z48" s="123">
        <v>2103.1961479384013</v>
      </c>
      <c r="AA48" s="123">
        <v>53.325864821713687</v>
      </c>
      <c r="AB48" s="123">
        <v>128.51695050558808</v>
      </c>
      <c r="AC48" s="123">
        <v>151.18253887565527</v>
      </c>
      <c r="AD48" s="123">
        <v>82.3996141564662</v>
      </c>
      <c r="AE48" s="123">
        <v>90.197405534858973</v>
      </c>
      <c r="AF48" s="122">
        <v>2608.8185218326839</v>
      </c>
      <c r="AG48" s="123">
        <v>2127.1953765997696</v>
      </c>
      <c r="AH48" s="123">
        <v>68.186188352570824</v>
      </c>
      <c r="AI48" s="123">
        <v>211.25275445960125</v>
      </c>
      <c r="AJ48" s="123">
        <v>151.3827424651023</v>
      </c>
      <c r="AK48" s="123">
        <v>79.972455403987411</v>
      </c>
      <c r="AL48" s="123">
        <v>45.903541448058768</v>
      </c>
      <c r="AM48" s="122">
        <v>2683.8930587290902</v>
      </c>
      <c r="AN48" s="138">
        <v>2115.1957622690852</v>
      </c>
      <c r="AO48" s="139">
        <v>60.756026587142259</v>
      </c>
      <c r="AP48" s="140">
        <v>169.88485248259468</v>
      </c>
      <c r="AQ48" s="140">
        <v>151.28264067037878</v>
      </c>
      <c r="AR48" s="139">
        <v>81.186034780226805</v>
      </c>
      <c r="AS48" s="141">
        <v>68.050473491458874</v>
      </c>
      <c r="AT48" s="122">
        <v>2646.3557902808866</v>
      </c>
      <c r="AU48" s="136">
        <v>3432.7811739527956</v>
      </c>
      <c r="AV48" s="142">
        <v>0.96</v>
      </c>
      <c r="AW48" s="143">
        <v>0</v>
      </c>
      <c r="AX48" s="213">
        <v>0.5173293323727064</v>
      </c>
      <c r="AY48" s="214">
        <v>-2.7321085110167027E-2</v>
      </c>
      <c r="AZ48" s="214">
        <v>-7.3800818973715016E-2</v>
      </c>
      <c r="BA48" s="214">
        <v>9.763355844912594E-2</v>
      </c>
      <c r="BB48" s="203">
        <v>1.1538861902446025</v>
      </c>
      <c r="BC48" s="139">
        <v>249</v>
      </c>
      <c r="BD48" s="204">
        <v>0.9</v>
      </c>
      <c r="BE48" s="139">
        <v>18729.907801024532</v>
      </c>
      <c r="BF48" s="139">
        <v>11000</v>
      </c>
      <c r="BG48" s="205">
        <v>0.65</v>
      </c>
      <c r="BH48" s="205">
        <v>0.65</v>
      </c>
      <c r="BI48" s="204">
        <v>0.2</v>
      </c>
      <c r="BJ48" s="142">
        <v>0.6</v>
      </c>
      <c r="BK48" s="205">
        <v>0.2</v>
      </c>
      <c r="BL48" s="170"/>
    </row>
    <row r="49" spans="1:64" x14ac:dyDescent="0.2">
      <c r="A49" s="91">
        <v>45</v>
      </c>
      <c r="B49" s="132" t="s">
        <v>60</v>
      </c>
      <c r="C49" s="155">
        <v>1646100</v>
      </c>
      <c r="D49" s="155">
        <v>194700</v>
      </c>
      <c r="E49" s="155">
        <v>1401000</v>
      </c>
      <c r="F49" s="155">
        <v>0</v>
      </c>
      <c r="G49" s="97"/>
      <c r="H49" s="97"/>
      <c r="I49" s="164">
        <v>0</v>
      </c>
      <c r="J49" s="164"/>
      <c r="K49" s="165">
        <v>0</v>
      </c>
      <c r="L49" s="166">
        <v>1.45</v>
      </c>
      <c r="M49" s="118">
        <v>1.38</v>
      </c>
      <c r="N49" s="133">
        <v>2916</v>
      </c>
      <c r="O49" s="133">
        <v>3015</v>
      </c>
      <c r="P49" s="167">
        <v>952.13499999999988</v>
      </c>
      <c r="Q49" s="133">
        <v>0</v>
      </c>
      <c r="R49" s="168">
        <v>0</v>
      </c>
      <c r="S49" s="169">
        <v>1649.54943</v>
      </c>
      <c r="T49" s="135">
        <v>450</v>
      </c>
      <c r="U49" s="97">
        <v>15</v>
      </c>
      <c r="V49" s="139">
        <v>0.9</v>
      </c>
      <c r="W49" s="136">
        <v>25396.95</v>
      </c>
      <c r="X49" s="123">
        <v>408818.87</v>
      </c>
      <c r="Y49" s="137">
        <v>392204.7</v>
      </c>
      <c r="Z49" s="123">
        <v>2149.6336398155117</v>
      </c>
      <c r="AA49" s="123">
        <v>40.799910836762685</v>
      </c>
      <c r="AB49" s="123">
        <v>167.78945473251028</v>
      </c>
      <c r="AC49" s="123">
        <v>154.01873991571637</v>
      </c>
      <c r="AD49" s="123">
        <v>84.958762002743484</v>
      </c>
      <c r="AE49" s="123">
        <v>114.9229766803841</v>
      </c>
      <c r="AF49" s="122">
        <v>2712.1234839836288</v>
      </c>
      <c r="AG49" s="123">
        <v>2221.9009103547673</v>
      </c>
      <c r="AH49" s="123">
        <v>58.037678275290226</v>
      </c>
      <c r="AI49" s="123">
        <v>135.49562189054726</v>
      </c>
      <c r="AJ49" s="123">
        <v>152.73294806011006</v>
      </c>
      <c r="AK49" s="123">
        <v>100.4765671641791</v>
      </c>
      <c r="AL49" s="123">
        <v>81.150066334991706</v>
      </c>
      <c r="AM49" s="122">
        <v>2749.7937920798854</v>
      </c>
      <c r="AN49" s="138">
        <v>2185.7672750851398</v>
      </c>
      <c r="AO49" s="139">
        <v>49.418794556026455</v>
      </c>
      <c r="AP49" s="140">
        <v>151.64253831152877</v>
      </c>
      <c r="AQ49" s="140">
        <v>153.37584398791321</v>
      </c>
      <c r="AR49" s="139">
        <v>92.7176645834613</v>
      </c>
      <c r="AS49" s="141">
        <v>98.036521507687894</v>
      </c>
      <c r="AT49" s="122">
        <v>2730.9586380317578</v>
      </c>
      <c r="AU49" s="136">
        <v>3432.7811739527956</v>
      </c>
      <c r="AV49" s="142">
        <v>0.96</v>
      </c>
      <c r="AW49" s="143">
        <v>0</v>
      </c>
      <c r="AX49" s="213">
        <v>0.41230478001012499</v>
      </c>
      <c r="AY49" s="214">
        <v>-2.8943168829968974E-2</v>
      </c>
      <c r="AZ49" s="214">
        <v>-7.3800818973715016E-2</v>
      </c>
      <c r="BA49" s="214">
        <v>2.300551776265472E-2</v>
      </c>
      <c r="BB49" s="203">
        <v>1.1538861902446025</v>
      </c>
      <c r="BC49" s="139">
        <v>249</v>
      </c>
      <c r="BD49" s="204">
        <v>0.9</v>
      </c>
      <c r="BE49" s="139">
        <v>18729.907801024532</v>
      </c>
      <c r="BF49" s="139">
        <v>11000</v>
      </c>
      <c r="BG49" s="205">
        <v>0.65</v>
      </c>
      <c r="BH49" s="205">
        <v>0.65</v>
      </c>
      <c r="BI49" s="204">
        <v>0.2</v>
      </c>
      <c r="BJ49" s="142">
        <v>0.6</v>
      </c>
      <c r="BK49" s="205">
        <v>0.2</v>
      </c>
      <c r="BL49" s="170"/>
    </row>
    <row r="50" spans="1:64" x14ac:dyDescent="0.2">
      <c r="A50" s="91">
        <v>46</v>
      </c>
      <c r="B50" s="132" t="s">
        <v>61</v>
      </c>
      <c r="C50" s="155">
        <v>2977600</v>
      </c>
      <c r="D50" s="155">
        <v>0</v>
      </c>
      <c r="E50" s="155">
        <v>564300</v>
      </c>
      <c r="F50" s="155">
        <v>0</v>
      </c>
      <c r="G50" s="97"/>
      <c r="H50" s="97"/>
      <c r="I50" s="164">
        <v>0</v>
      </c>
      <c r="J50" s="164"/>
      <c r="K50" s="165">
        <v>0</v>
      </c>
      <c r="L50" s="166">
        <v>1.2</v>
      </c>
      <c r="M50" s="118">
        <v>1.1499999999999999</v>
      </c>
      <c r="N50" s="133">
        <v>4791</v>
      </c>
      <c r="O50" s="133">
        <v>4798</v>
      </c>
      <c r="P50" s="167">
        <v>978.32300000000009</v>
      </c>
      <c r="Q50" s="133">
        <v>24</v>
      </c>
      <c r="R50" s="168">
        <v>0</v>
      </c>
      <c r="S50" s="169">
        <v>1864.1369000000002</v>
      </c>
      <c r="T50" s="135">
        <v>579</v>
      </c>
      <c r="U50" s="97">
        <v>18</v>
      </c>
      <c r="V50" s="139">
        <v>0.92</v>
      </c>
      <c r="W50" s="136">
        <v>2846.8</v>
      </c>
      <c r="X50" s="123">
        <v>356575.85</v>
      </c>
      <c r="Y50" s="137">
        <v>397142.4</v>
      </c>
      <c r="Z50" s="123">
        <v>2151.4788860808267</v>
      </c>
      <c r="AA50" s="123">
        <v>58.774735963264455</v>
      </c>
      <c r="AB50" s="123">
        <v>122.88518054685869</v>
      </c>
      <c r="AC50" s="123">
        <v>133.19803816513459</v>
      </c>
      <c r="AD50" s="123">
        <v>65.196117720726363</v>
      </c>
      <c r="AE50" s="123">
        <v>56.776247130035486</v>
      </c>
      <c r="AF50" s="122">
        <v>2588.3092056068467</v>
      </c>
      <c r="AG50" s="123">
        <v>2253.674139404472</v>
      </c>
      <c r="AH50" s="123">
        <v>59.043476448520209</v>
      </c>
      <c r="AI50" s="123">
        <v>99.618163818257614</v>
      </c>
      <c r="AJ50" s="123">
        <v>137.2438297053443</v>
      </c>
      <c r="AK50" s="123">
        <v>103.79383076281783</v>
      </c>
      <c r="AL50" s="123">
        <v>106.25695081283868</v>
      </c>
      <c r="AM50" s="122">
        <v>2759.6303909522503</v>
      </c>
      <c r="AN50" s="138">
        <v>2202.5765127426494</v>
      </c>
      <c r="AO50" s="139">
        <v>58.909106205892328</v>
      </c>
      <c r="AP50" s="140">
        <v>111.25167218255815</v>
      </c>
      <c r="AQ50" s="140">
        <v>135.22093393523943</v>
      </c>
      <c r="AR50" s="139">
        <v>84.494974241772098</v>
      </c>
      <c r="AS50" s="141">
        <v>81.516598971437077</v>
      </c>
      <c r="AT50" s="122">
        <v>2673.9697982795483</v>
      </c>
      <c r="AU50" s="136">
        <v>3432.7811739527956</v>
      </c>
      <c r="AV50" s="142">
        <v>0.96</v>
      </c>
      <c r="AW50" s="143">
        <v>0</v>
      </c>
      <c r="AX50" s="213">
        <v>-0.25922537642323396</v>
      </c>
      <c r="AY50" s="214">
        <v>-2.5506524039147785E-2</v>
      </c>
      <c r="AZ50" s="214">
        <v>-7.3800818973715016E-2</v>
      </c>
      <c r="BA50" s="214">
        <v>-6.7961976121250027E-4</v>
      </c>
      <c r="BB50" s="203">
        <v>1.1538861902446025</v>
      </c>
      <c r="BC50" s="139">
        <v>249</v>
      </c>
      <c r="BD50" s="204">
        <v>0.9</v>
      </c>
      <c r="BE50" s="139">
        <v>18729.907801024532</v>
      </c>
      <c r="BF50" s="139">
        <v>11000</v>
      </c>
      <c r="BG50" s="205">
        <v>0.65</v>
      </c>
      <c r="BH50" s="205">
        <v>0.65</v>
      </c>
      <c r="BI50" s="204">
        <v>0.2</v>
      </c>
      <c r="BJ50" s="142">
        <v>0.6</v>
      </c>
      <c r="BK50" s="205">
        <v>0.2</v>
      </c>
      <c r="BL50" s="170"/>
    </row>
    <row r="51" spans="1:64" x14ac:dyDescent="0.2">
      <c r="A51" s="91">
        <v>48</v>
      </c>
      <c r="B51" s="132" t="s">
        <v>62</v>
      </c>
      <c r="C51" s="155">
        <v>277800</v>
      </c>
      <c r="D51" s="155">
        <v>205500</v>
      </c>
      <c r="E51" s="155">
        <v>0</v>
      </c>
      <c r="F51" s="155">
        <v>0</v>
      </c>
      <c r="G51" s="97"/>
      <c r="H51" s="97"/>
      <c r="I51" s="164">
        <v>0</v>
      </c>
      <c r="J51" s="164"/>
      <c r="K51" s="165">
        <v>0</v>
      </c>
      <c r="L51" s="166">
        <v>1.23</v>
      </c>
      <c r="M51" s="118">
        <v>1.23</v>
      </c>
      <c r="N51" s="133">
        <v>5053</v>
      </c>
      <c r="O51" s="133">
        <v>5071</v>
      </c>
      <c r="P51" s="167">
        <v>1373.0800000000002</v>
      </c>
      <c r="Q51" s="133">
        <v>249</v>
      </c>
      <c r="R51" s="168">
        <v>2303.04240513284</v>
      </c>
      <c r="S51" s="169">
        <v>3358.5925400000001</v>
      </c>
      <c r="T51" s="135">
        <v>558</v>
      </c>
      <c r="U51" s="97">
        <v>9</v>
      </c>
      <c r="V51" s="139">
        <v>0.89</v>
      </c>
      <c r="W51" s="136">
        <v>36626.050000000003</v>
      </c>
      <c r="X51" s="123">
        <v>400797.44999999995</v>
      </c>
      <c r="Y51" s="137">
        <v>695334.45000000007</v>
      </c>
      <c r="Z51" s="123">
        <v>2644.9955071303243</v>
      </c>
      <c r="AA51" s="123">
        <v>18.465810409657632</v>
      </c>
      <c r="AB51" s="123">
        <v>84.01827627152187</v>
      </c>
      <c r="AC51" s="123">
        <v>181.46309762860594</v>
      </c>
      <c r="AD51" s="123">
        <v>107.48591925588758</v>
      </c>
      <c r="AE51" s="123">
        <v>141.39943597862654</v>
      </c>
      <c r="AF51" s="122">
        <v>3177.8280466746232</v>
      </c>
      <c r="AG51" s="123">
        <v>2669.4541678247533</v>
      </c>
      <c r="AH51" s="123">
        <v>29.710707947150457</v>
      </c>
      <c r="AI51" s="123">
        <v>102.55087753894695</v>
      </c>
      <c r="AJ51" s="123">
        <v>188.57639088722843</v>
      </c>
      <c r="AK51" s="123">
        <v>134.88235062117926</v>
      </c>
      <c r="AL51" s="123">
        <v>177.9663971603234</v>
      </c>
      <c r="AM51" s="122">
        <v>3303.1408919795822</v>
      </c>
      <c r="AN51" s="138">
        <v>2657.224837477539</v>
      </c>
      <c r="AO51" s="139">
        <v>24.088259178404044</v>
      </c>
      <c r="AP51" s="140">
        <v>93.284576905234417</v>
      </c>
      <c r="AQ51" s="140">
        <v>185.01974425791718</v>
      </c>
      <c r="AR51" s="139">
        <v>121.18413493853342</v>
      </c>
      <c r="AS51" s="141">
        <v>159.68291656947497</v>
      </c>
      <c r="AT51" s="122">
        <v>3240.4844693271034</v>
      </c>
      <c r="AU51" s="136">
        <v>3432.7811739527956</v>
      </c>
      <c r="AV51" s="142">
        <v>0.96</v>
      </c>
      <c r="AW51" s="143">
        <v>0</v>
      </c>
      <c r="AX51" s="213">
        <v>0.14207565416755502</v>
      </c>
      <c r="AY51" s="214">
        <v>4.7925046473502233E-3</v>
      </c>
      <c r="AZ51" s="214">
        <v>2.1608805915277828E-2</v>
      </c>
      <c r="BA51" s="214">
        <v>4.0210293575319363E-2</v>
      </c>
      <c r="BB51" s="203">
        <v>1.1538861902446025</v>
      </c>
      <c r="BC51" s="139">
        <v>249</v>
      </c>
      <c r="BD51" s="204">
        <v>0.9</v>
      </c>
      <c r="BE51" s="139">
        <v>18729.907801024532</v>
      </c>
      <c r="BF51" s="139">
        <v>11000</v>
      </c>
      <c r="BG51" s="205">
        <v>0.65</v>
      </c>
      <c r="BH51" s="205">
        <v>0.65</v>
      </c>
      <c r="BI51" s="204">
        <v>0.2</v>
      </c>
      <c r="BJ51" s="142">
        <v>0.6</v>
      </c>
      <c r="BK51" s="205">
        <v>0.2</v>
      </c>
      <c r="BL51" s="170"/>
    </row>
    <row r="52" spans="1:64" x14ac:dyDescent="0.2">
      <c r="A52" s="91">
        <v>50</v>
      </c>
      <c r="B52" s="132" t="s">
        <v>63</v>
      </c>
      <c r="C52" s="155">
        <v>1309200</v>
      </c>
      <c r="D52" s="155">
        <v>0</v>
      </c>
      <c r="E52" s="155">
        <v>1127500</v>
      </c>
      <c r="F52" s="155">
        <v>0</v>
      </c>
      <c r="G52" s="97"/>
      <c r="H52" s="97"/>
      <c r="I52" s="164">
        <v>0</v>
      </c>
      <c r="J52" s="164"/>
      <c r="K52" s="165">
        <v>0</v>
      </c>
      <c r="L52" s="166">
        <v>1.45</v>
      </c>
      <c r="M52" s="118">
        <v>1.38</v>
      </c>
      <c r="N52" s="133">
        <v>6340</v>
      </c>
      <c r="O52" s="133">
        <v>6336</v>
      </c>
      <c r="P52" s="167">
        <v>881.64900000000011</v>
      </c>
      <c r="Q52" s="133">
        <v>0</v>
      </c>
      <c r="R52" s="168">
        <v>0</v>
      </c>
      <c r="S52" s="169">
        <v>753.53891999999996</v>
      </c>
      <c r="T52" s="135">
        <v>782</v>
      </c>
      <c r="U52" s="97">
        <v>24</v>
      </c>
      <c r="V52" s="139">
        <v>1.04</v>
      </c>
      <c r="W52" s="136">
        <v>145289.54999999999</v>
      </c>
      <c r="X52" s="123">
        <v>1129310.33</v>
      </c>
      <c r="Y52" s="137">
        <v>882236.3</v>
      </c>
      <c r="Z52" s="123">
        <v>2286.4454959103832</v>
      </c>
      <c r="AA52" s="123">
        <v>91.69476025236591</v>
      </c>
      <c r="AB52" s="123">
        <v>307.9971687697161</v>
      </c>
      <c r="AC52" s="123">
        <v>162.93653440250549</v>
      </c>
      <c r="AD52" s="123">
        <v>76.565276025236585</v>
      </c>
      <c r="AE52" s="123">
        <v>84.952239747634067</v>
      </c>
      <c r="AF52" s="122">
        <v>3010.5914751078412</v>
      </c>
      <c r="AG52" s="123">
        <v>2318.5272404459165</v>
      </c>
      <c r="AH52" s="123">
        <v>101.88510890151515</v>
      </c>
      <c r="AI52" s="123">
        <v>294.97661773989898</v>
      </c>
      <c r="AJ52" s="123">
        <v>167.88739843266262</v>
      </c>
      <c r="AK52" s="123">
        <v>210.4542929292929</v>
      </c>
      <c r="AL52" s="123">
        <v>73.612318497474746</v>
      </c>
      <c r="AM52" s="122">
        <v>3167.3429769467612</v>
      </c>
      <c r="AN52" s="138">
        <v>2302.4863681781499</v>
      </c>
      <c r="AO52" s="139">
        <v>96.789934576940539</v>
      </c>
      <c r="AP52" s="140">
        <v>301.48689325480757</v>
      </c>
      <c r="AQ52" s="140">
        <v>165.41196641758404</v>
      </c>
      <c r="AR52" s="139">
        <v>143.50978447726476</v>
      </c>
      <c r="AS52" s="141">
        <v>79.282279122554399</v>
      </c>
      <c r="AT52" s="122">
        <v>3088.9672260273014</v>
      </c>
      <c r="AU52" s="136">
        <v>3432.7811739527956</v>
      </c>
      <c r="AV52" s="142">
        <v>0.96</v>
      </c>
      <c r="AW52" s="143">
        <v>0</v>
      </c>
      <c r="AX52" s="213">
        <v>-0.64782943390883385</v>
      </c>
      <c r="AY52" s="214">
        <v>-2.8943168829968974E-2</v>
      </c>
      <c r="AZ52" s="214">
        <v>-7.3800818973715016E-2</v>
      </c>
      <c r="BA52" s="214">
        <v>-4.0942880340339327E-2</v>
      </c>
      <c r="BB52" s="203">
        <v>1.1538861902446025</v>
      </c>
      <c r="BC52" s="139">
        <v>249</v>
      </c>
      <c r="BD52" s="204">
        <v>0.9</v>
      </c>
      <c r="BE52" s="139">
        <v>18729.907801024532</v>
      </c>
      <c r="BF52" s="139">
        <v>11000</v>
      </c>
      <c r="BG52" s="205">
        <v>0.65</v>
      </c>
      <c r="BH52" s="205">
        <v>0.65</v>
      </c>
      <c r="BI52" s="204">
        <v>0.2</v>
      </c>
      <c r="BJ52" s="142">
        <v>0.6</v>
      </c>
      <c r="BK52" s="205">
        <v>0.2</v>
      </c>
      <c r="BL52" s="170"/>
    </row>
    <row r="53" spans="1:64" x14ac:dyDescent="0.2">
      <c r="A53" s="91">
        <v>51</v>
      </c>
      <c r="B53" s="132" t="s">
        <v>64</v>
      </c>
      <c r="C53" s="155">
        <v>0</v>
      </c>
      <c r="D53" s="155">
        <v>0</v>
      </c>
      <c r="E53" s="155">
        <v>0</v>
      </c>
      <c r="F53" s="155">
        <v>0</v>
      </c>
      <c r="G53" s="97"/>
      <c r="H53" s="97"/>
      <c r="I53" s="164">
        <v>0</v>
      </c>
      <c r="J53" s="164"/>
      <c r="K53" s="165">
        <v>0</v>
      </c>
      <c r="L53" s="166">
        <v>1.19</v>
      </c>
      <c r="M53" s="118">
        <v>1.19</v>
      </c>
      <c r="N53" s="133">
        <v>3738</v>
      </c>
      <c r="O53" s="133">
        <v>3724</v>
      </c>
      <c r="P53" s="167">
        <v>542.88499999999988</v>
      </c>
      <c r="Q53" s="133">
        <v>0</v>
      </c>
      <c r="R53" s="168">
        <v>0</v>
      </c>
      <c r="S53" s="169">
        <v>597.65724999999998</v>
      </c>
      <c r="T53" s="135">
        <v>407</v>
      </c>
      <c r="U53" s="97">
        <v>6</v>
      </c>
      <c r="V53" s="139">
        <v>0.96</v>
      </c>
      <c r="W53" s="136">
        <v>64083</v>
      </c>
      <c r="X53" s="123">
        <v>655394</v>
      </c>
      <c r="Y53" s="137">
        <v>452111.60000000003</v>
      </c>
      <c r="Z53" s="123">
        <v>2713.6575471864312</v>
      </c>
      <c r="AA53" s="123">
        <v>62.067145532370247</v>
      </c>
      <c r="AB53" s="123">
        <v>303.68338683788124</v>
      </c>
      <c r="AC53" s="123">
        <v>173.83991459517785</v>
      </c>
      <c r="AD53" s="123">
        <v>79.326645264847514</v>
      </c>
      <c r="AE53" s="123">
        <v>58.805216693418942</v>
      </c>
      <c r="AF53" s="122">
        <v>3391.3798561101275</v>
      </c>
      <c r="AG53" s="123">
        <v>3078.0261777998335</v>
      </c>
      <c r="AH53" s="123">
        <v>63.699248120300751</v>
      </c>
      <c r="AI53" s="123">
        <v>209.48504296455422</v>
      </c>
      <c r="AJ53" s="123">
        <v>182.47255419837632</v>
      </c>
      <c r="AK53" s="123">
        <v>78.928034371643392</v>
      </c>
      <c r="AL53" s="123">
        <v>110.1111170784103</v>
      </c>
      <c r="AM53" s="122">
        <v>3722.7221745331181</v>
      </c>
      <c r="AN53" s="138">
        <v>2895.8418624931323</v>
      </c>
      <c r="AO53" s="139">
        <v>62.883196826335499</v>
      </c>
      <c r="AP53" s="140">
        <v>256.58421490121771</v>
      </c>
      <c r="AQ53" s="140">
        <v>178.15623439677708</v>
      </c>
      <c r="AR53" s="139">
        <v>79.127339818245446</v>
      </c>
      <c r="AS53" s="141">
        <v>84.458166885914622</v>
      </c>
      <c r="AT53" s="122">
        <v>3557.0510153216228</v>
      </c>
      <c r="AU53" s="136">
        <v>3432.7811739527956</v>
      </c>
      <c r="AV53" s="142">
        <v>0.96</v>
      </c>
      <c r="AW53" s="143">
        <v>-0.18100460686477748</v>
      </c>
      <c r="AX53" s="213">
        <v>-0.60803511999405202</v>
      </c>
      <c r="AY53" s="214">
        <v>-2.8943168829968974E-2</v>
      </c>
      <c r="AZ53" s="214">
        <v>-7.3800818973715016E-2</v>
      </c>
      <c r="BA53" s="214">
        <v>-3.4736251418553785E-2</v>
      </c>
      <c r="BB53" s="203">
        <v>1.1538861902446025</v>
      </c>
      <c r="BC53" s="139">
        <v>249</v>
      </c>
      <c r="BD53" s="204">
        <v>0.9</v>
      </c>
      <c r="BE53" s="139">
        <v>18729.907801024532</v>
      </c>
      <c r="BF53" s="139">
        <v>11000</v>
      </c>
      <c r="BG53" s="205">
        <v>0.65</v>
      </c>
      <c r="BH53" s="205">
        <v>0.65</v>
      </c>
      <c r="BI53" s="204">
        <v>0.2</v>
      </c>
      <c r="BJ53" s="142">
        <v>0.6</v>
      </c>
      <c r="BK53" s="205">
        <v>0.2</v>
      </c>
      <c r="BL53" s="170"/>
    </row>
    <row r="54" spans="1:64" x14ac:dyDescent="0.2">
      <c r="A54" s="91">
        <v>52</v>
      </c>
      <c r="B54" s="132" t="s">
        <v>65</v>
      </c>
      <c r="C54" s="155">
        <v>0</v>
      </c>
      <c r="D54" s="155">
        <v>0</v>
      </c>
      <c r="E54" s="155">
        <v>0</v>
      </c>
      <c r="F54" s="155">
        <v>0</v>
      </c>
      <c r="G54" s="97"/>
      <c r="H54" s="97"/>
      <c r="I54" s="164">
        <v>0</v>
      </c>
      <c r="J54" s="164"/>
      <c r="K54" s="165">
        <v>0</v>
      </c>
      <c r="L54" s="166">
        <v>0.9</v>
      </c>
      <c r="M54" s="118">
        <v>0.8</v>
      </c>
      <c r="N54" s="133">
        <v>26962</v>
      </c>
      <c r="O54" s="133">
        <v>26989</v>
      </c>
      <c r="P54" s="167">
        <v>2665.674</v>
      </c>
      <c r="Q54" s="133">
        <v>0</v>
      </c>
      <c r="R54" s="168">
        <v>4402.5419871368003</v>
      </c>
      <c r="S54" s="169">
        <v>3136.8576900000003</v>
      </c>
      <c r="T54" s="135">
        <v>2739</v>
      </c>
      <c r="U54" s="97">
        <v>37</v>
      </c>
      <c r="V54" s="139">
        <v>0.92</v>
      </c>
      <c r="W54" s="136">
        <v>424093.2</v>
      </c>
      <c r="X54" s="123">
        <v>3977487.12</v>
      </c>
      <c r="Y54" s="137">
        <v>3300677.35</v>
      </c>
      <c r="Z54" s="123">
        <v>4160.7178924659502</v>
      </c>
      <c r="AA54" s="123">
        <v>85.060106446109344</v>
      </c>
      <c r="AB54" s="123">
        <v>540.61469104665832</v>
      </c>
      <c r="AC54" s="123">
        <v>208.78064991275536</v>
      </c>
      <c r="AD54" s="123">
        <v>130.73894740746235</v>
      </c>
      <c r="AE54" s="123">
        <v>173.68564646539576</v>
      </c>
      <c r="AF54" s="122">
        <v>5299.5979337443323</v>
      </c>
      <c r="AG54" s="123">
        <v>4290.0808504180723</v>
      </c>
      <c r="AH54" s="123">
        <v>78.913203527362995</v>
      </c>
      <c r="AI54" s="123">
        <v>733.33212790396078</v>
      </c>
      <c r="AJ54" s="123">
        <v>220.32216991247802</v>
      </c>
      <c r="AK54" s="123">
        <v>82.344301382044534</v>
      </c>
      <c r="AL54" s="123">
        <v>184.20215272888953</v>
      </c>
      <c r="AM54" s="122">
        <v>5589.1948058728085</v>
      </c>
      <c r="AN54" s="138">
        <v>4225.3993714420112</v>
      </c>
      <c r="AO54" s="139">
        <v>81.98665498673617</v>
      </c>
      <c r="AP54" s="140">
        <v>636.97340947530961</v>
      </c>
      <c r="AQ54" s="140">
        <v>214.55140991261669</v>
      </c>
      <c r="AR54" s="139">
        <v>106.54162439475344</v>
      </c>
      <c r="AS54" s="141">
        <v>178.94389959714266</v>
      </c>
      <c r="AT54" s="122">
        <v>5444.3963698085699</v>
      </c>
      <c r="AU54" s="136">
        <v>3432.7811739527956</v>
      </c>
      <c r="AV54" s="142">
        <v>0.96</v>
      </c>
      <c r="AW54" s="143">
        <v>-1</v>
      </c>
      <c r="AX54" s="213">
        <v>-0.8901641647172005</v>
      </c>
      <c r="AY54" s="214">
        <v>-2.8943168829968974E-2</v>
      </c>
      <c r="AZ54" s="214">
        <v>0.10858613083433029</v>
      </c>
      <c r="BA54" s="214">
        <v>-4.1346490821789615E-2</v>
      </c>
      <c r="BB54" s="203">
        <v>1.1538861902446025</v>
      </c>
      <c r="BC54" s="139">
        <v>249</v>
      </c>
      <c r="BD54" s="204">
        <v>0.9</v>
      </c>
      <c r="BE54" s="139">
        <v>18729.907801024532</v>
      </c>
      <c r="BF54" s="139">
        <v>11000</v>
      </c>
      <c r="BG54" s="205">
        <v>0.65</v>
      </c>
      <c r="BH54" s="205">
        <v>0.65</v>
      </c>
      <c r="BI54" s="204">
        <v>0.2</v>
      </c>
      <c r="BJ54" s="142">
        <v>0.6</v>
      </c>
      <c r="BK54" s="205">
        <v>0.2</v>
      </c>
      <c r="BL54" s="170"/>
    </row>
    <row r="55" spans="1:64" x14ac:dyDescent="0.2">
      <c r="A55" s="91">
        <v>54</v>
      </c>
      <c r="B55" s="132" t="s">
        <v>66</v>
      </c>
      <c r="C55" s="155">
        <v>2302700</v>
      </c>
      <c r="D55" s="155">
        <v>1531700</v>
      </c>
      <c r="E55" s="155">
        <v>1152800</v>
      </c>
      <c r="F55" s="155">
        <v>0</v>
      </c>
      <c r="G55" s="97"/>
      <c r="H55" s="97"/>
      <c r="I55" s="164">
        <v>0</v>
      </c>
      <c r="J55" s="164"/>
      <c r="K55" s="165">
        <v>0</v>
      </c>
      <c r="L55" s="166">
        <v>1.23</v>
      </c>
      <c r="M55" s="118">
        <v>1.23</v>
      </c>
      <c r="N55" s="133">
        <v>9245</v>
      </c>
      <c r="O55" s="133">
        <v>9477</v>
      </c>
      <c r="P55" s="167">
        <v>3405.3887999999997</v>
      </c>
      <c r="Q55" s="133">
        <v>740</v>
      </c>
      <c r="R55" s="168">
        <v>4343.0082333151804</v>
      </c>
      <c r="S55" s="169">
        <v>5489.1676099999995</v>
      </c>
      <c r="T55" s="135">
        <v>1155</v>
      </c>
      <c r="U55" s="97">
        <v>21</v>
      </c>
      <c r="V55" s="139">
        <v>0.91</v>
      </c>
      <c r="W55" s="136">
        <v>208952</v>
      </c>
      <c r="X55" s="123">
        <v>924645.20000000007</v>
      </c>
      <c r="Y55" s="137">
        <v>1569063.7000000002</v>
      </c>
      <c r="Z55" s="123">
        <v>2422.4512019088766</v>
      </c>
      <c r="AA55" s="123">
        <v>59.122472687939414</v>
      </c>
      <c r="AB55" s="123">
        <v>181.10157382368845</v>
      </c>
      <c r="AC55" s="123">
        <v>161.11161054044675</v>
      </c>
      <c r="AD55" s="123">
        <v>130.27790156841536</v>
      </c>
      <c r="AE55" s="123">
        <v>76.237101135749057</v>
      </c>
      <c r="AF55" s="122">
        <v>3030.3018616651157</v>
      </c>
      <c r="AG55" s="123">
        <v>2467.5458581087414</v>
      </c>
      <c r="AH55" s="123">
        <v>49.134536245647354</v>
      </c>
      <c r="AI55" s="123">
        <v>149.1860768175583</v>
      </c>
      <c r="AJ55" s="123">
        <v>169.45314638076692</v>
      </c>
      <c r="AK55" s="123">
        <v>111.59025535507018</v>
      </c>
      <c r="AL55" s="123">
        <v>115.58422496570644</v>
      </c>
      <c r="AM55" s="122">
        <v>3062.4940978734908</v>
      </c>
      <c r="AN55" s="138">
        <v>2444.9985300088092</v>
      </c>
      <c r="AO55" s="139">
        <v>54.128504466793387</v>
      </c>
      <c r="AP55" s="140">
        <v>165.14382532062336</v>
      </c>
      <c r="AQ55" s="140">
        <v>165.28237846060682</v>
      </c>
      <c r="AR55" s="139">
        <v>120.93407846174277</v>
      </c>
      <c r="AS55" s="141">
        <v>95.910663050727749</v>
      </c>
      <c r="AT55" s="122">
        <v>3046.3979797693032</v>
      </c>
      <c r="AU55" s="136">
        <v>3432.7811739527956</v>
      </c>
      <c r="AV55" s="142">
        <v>0.96</v>
      </c>
      <c r="AW55" s="143">
        <v>0</v>
      </c>
      <c r="AX55" s="213">
        <v>0.67355784195384882</v>
      </c>
      <c r="AY55" s="214">
        <v>2.4703713370386474E-2</v>
      </c>
      <c r="AZ55" s="214">
        <v>0.10611978757130786</v>
      </c>
      <c r="BA55" s="214">
        <v>2.7798860512321433E-2</v>
      </c>
      <c r="BB55" s="203">
        <v>1.1538861902446025</v>
      </c>
      <c r="BC55" s="139">
        <v>249</v>
      </c>
      <c r="BD55" s="204">
        <v>0.9</v>
      </c>
      <c r="BE55" s="139">
        <v>18729.907801024532</v>
      </c>
      <c r="BF55" s="139">
        <v>11000</v>
      </c>
      <c r="BG55" s="205">
        <v>0.65</v>
      </c>
      <c r="BH55" s="205">
        <v>0.65</v>
      </c>
      <c r="BI55" s="204">
        <v>0.2</v>
      </c>
      <c r="BJ55" s="142">
        <v>0.6</v>
      </c>
      <c r="BK55" s="205">
        <v>0.2</v>
      </c>
      <c r="BL55" s="170"/>
    </row>
    <row r="56" spans="1:64" x14ac:dyDescent="0.2">
      <c r="A56" s="91">
        <v>57</v>
      </c>
      <c r="B56" s="132" t="s">
        <v>67</v>
      </c>
      <c r="C56" s="155">
        <v>981500</v>
      </c>
      <c r="D56" s="155">
        <v>2243700</v>
      </c>
      <c r="E56" s="155">
        <v>84000</v>
      </c>
      <c r="F56" s="155">
        <v>0</v>
      </c>
      <c r="G56" s="97"/>
      <c r="H56" s="97"/>
      <c r="I56" s="164">
        <v>0</v>
      </c>
      <c r="J56" s="164"/>
      <c r="K56" s="165">
        <v>0</v>
      </c>
      <c r="L56" s="166">
        <v>1.48</v>
      </c>
      <c r="M56" s="118">
        <v>1.48</v>
      </c>
      <c r="N56" s="133">
        <v>2667</v>
      </c>
      <c r="O56" s="133">
        <v>2662</v>
      </c>
      <c r="P56" s="167">
        <v>2061.9035999999996</v>
      </c>
      <c r="Q56" s="133">
        <v>2662</v>
      </c>
      <c r="R56" s="168">
        <v>3807.5138720592399</v>
      </c>
      <c r="S56" s="169">
        <v>8752.8400199999996</v>
      </c>
      <c r="T56" s="135">
        <v>304</v>
      </c>
      <c r="U56" s="97">
        <v>5</v>
      </c>
      <c r="V56" s="139">
        <v>0.92</v>
      </c>
      <c r="W56" s="136">
        <v>0</v>
      </c>
      <c r="X56" s="123">
        <v>275158.34999999998</v>
      </c>
      <c r="Y56" s="137">
        <v>407751.75</v>
      </c>
      <c r="Z56" s="123">
        <v>2198.2883253945097</v>
      </c>
      <c r="AA56" s="123">
        <v>109.99838770153731</v>
      </c>
      <c r="AB56" s="123">
        <v>133.83421447319085</v>
      </c>
      <c r="AC56" s="123">
        <v>248.38724767582815</v>
      </c>
      <c r="AD56" s="123">
        <v>103.42296587926509</v>
      </c>
      <c r="AE56" s="123">
        <v>100.43687664041995</v>
      </c>
      <c r="AF56" s="122">
        <v>2894.3680177647516</v>
      </c>
      <c r="AG56" s="123">
        <v>2310.3221951233509</v>
      </c>
      <c r="AH56" s="123">
        <v>106.75864012021037</v>
      </c>
      <c r="AI56" s="123">
        <v>99.595867768595042</v>
      </c>
      <c r="AJ56" s="123">
        <v>251.18171303410512</v>
      </c>
      <c r="AK56" s="123">
        <v>110.12556348610067</v>
      </c>
      <c r="AL56" s="123">
        <v>82.573685199098421</v>
      </c>
      <c r="AM56" s="122">
        <v>2960.5576647314601</v>
      </c>
      <c r="AN56" s="138">
        <v>2254.3052602589305</v>
      </c>
      <c r="AO56" s="139">
        <v>108.37851391087383</v>
      </c>
      <c r="AP56" s="140">
        <v>116.71504112089295</v>
      </c>
      <c r="AQ56" s="140">
        <v>249.78448035496663</v>
      </c>
      <c r="AR56" s="139">
        <v>106.77426468268288</v>
      </c>
      <c r="AS56" s="141">
        <v>91.505280919759187</v>
      </c>
      <c r="AT56" s="122">
        <v>2927.4628412481061</v>
      </c>
      <c r="AU56" s="136">
        <v>3432.7811739527956</v>
      </c>
      <c r="AV56" s="142">
        <v>0.96</v>
      </c>
      <c r="AW56" s="143">
        <v>0</v>
      </c>
      <c r="AX56" s="213">
        <v>3.1655301604926063</v>
      </c>
      <c r="AY56" s="214">
        <v>0.65809940226836705</v>
      </c>
      <c r="AZ56" s="214">
        <v>8.393551687627776E-2</v>
      </c>
      <c r="BA56" s="214">
        <v>0.43236101895389151</v>
      </c>
      <c r="BB56" s="203">
        <v>1.1538861902446025</v>
      </c>
      <c r="BC56" s="139">
        <v>249</v>
      </c>
      <c r="BD56" s="204">
        <v>0.9</v>
      </c>
      <c r="BE56" s="139">
        <v>18729.907801024532</v>
      </c>
      <c r="BF56" s="139">
        <v>11000</v>
      </c>
      <c r="BG56" s="205">
        <v>0.65</v>
      </c>
      <c r="BH56" s="205">
        <v>0.65</v>
      </c>
      <c r="BI56" s="204">
        <v>0.2</v>
      </c>
      <c r="BJ56" s="142">
        <v>0.6</v>
      </c>
      <c r="BK56" s="205">
        <v>0.2</v>
      </c>
      <c r="BL56" s="170"/>
    </row>
    <row r="57" spans="1:64" x14ac:dyDescent="0.2">
      <c r="A57" s="91">
        <v>60</v>
      </c>
      <c r="B57" s="132" t="s">
        <v>68</v>
      </c>
      <c r="C57" s="155">
        <v>3008000</v>
      </c>
      <c r="D57" s="155">
        <v>2401500</v>
      </c>
      <c r="E57" s="155">
        <v>73800</v>
      </c>
      <c r="F57" s="155">
        <v>23900</v>
      </c>
      <c r="G57" s="97"/>
      <c r="H57" s="97"/>
      <c r="I57" s="164">
        <v>0</v>
      </c>
      <c r="J57" s="164"/>
      <c r="K57" s="165">
        <v>0</v>
      </c>
      <c r="L57" s="166">
        <v>1.44</v>
      </c>
      <c r="M57" s="118">
        <v>1.39</v>
      </c>
      <c r="N57" s="133">
        <v>3611</v>
      </c>
      <c r="O57" s="133">
        <v>3599</v>
      </c>
      <c r="P57" s="167">
        <v>2637.9147999999996</v>
      </c>
      <c r="Q57" s="133">
        <v>1554</v>
      </c>
      <c r="R57" s="168">
        <v>0</v>
      </c>
      <c r="S57" s="169">
        <v>9270.1651499999989</v>
      </c>
      <c r="T57" s="135">
        <v>401</v>
      </c>
      <c r="U57" s="97">
        <v>9</v>
      </c>
      <c r="V57" s="139">
        <v>1.03</v>
      </c>
      <c r="W57" s="136">
        <v>117962.1</v>
      </c>
      <c r="X57" s="123">
        <v>573271.67999999993</v>
      </c>
      <c r="Y57" s="137">
        <v>564394.1</v>
      </c>
      <c r="Z57" s="123">
        <v>2070.0646169678676</v>
      </c>
      <c r="AA57" s="123">
        <v>21.797214068125179</v>
      </c>
      <c r="AB57" s="123">
        <v>117.84583217945169</v>
      </c>
      <c r="AC57" s="123">
        <v>134.89060857624679</v>
      </c>
      <c r="AD57" s="123">
        <v>86.199016892827473</v>
      </c>
      <c r="AE57" s="123">
        <v>135.79266131265578</v>
      </c>
      <c r="AF57" s="122">
        <v>2566.5899499971738</v>
      </c>
      <c r="AG57" s="123">
        <v>1979.5348238186216</v>
      </c>
      <c r="AH57" s="123">
        <v>22.820352875798832</v>
      </c>
      <c r="AI57" s="123">
        <v>109.99565156988054</v>
      </c>
      <c r="AJ57" s="123">
        <v>138.39740581306384</v>
      </c>
      <c r="AK57" s="123">
        <v>69.884968046679631</v>
      </c>
      <c r="AL57" s="123">
        <v>37.711225340372323</v>
      </c>
      <c r="AM57" s="122">
        <v>2358.3444274644171</v>
      </c>
      <c r="AN57" s="138">
        <v>2024.7997203932446</v>
      </c>
      <c r="AO57" s="139">
        <v>22.308783471962006</v>
      </c>
      <c r="AP57" s="140">
        <v>113.92074187466611</v>
      </c>
      <c r="AQ57" s="140">
        <v>136.64400719465533</v>
      </c>
      <c r="AR57" s="139">
        <v>78.041992469753552</v>
      </c>
      <c r="AS57" s="141">
        <v>86.751943326514052</v>
      </c>
      <c r="AT57" s="122">
        <v>2462.4671887307959</v>
      </c>
      <c r="AU57" s="136">
        <v>3432.7811739527956</v>
      </c>
      <c r="AV57" s="142">
        <v>0.96</v>
      </c>
      <c r="AW57" s="143">
        <v>0</v>
      </c>
      <c r="AX57" s="213">
        <v>2.9158054409008662</v>
      </c>
      <c r="AY57" s="214">
        <v>0.2677126120777315</v>
      </c>
      <c r="AZ57" s="214">
        <v>-7.3800818973715016E-2</v>
      </c>
      <c r="BA57" s="214">
        <v>0.32597944262135131</v>
      </c>
      <c r="BB57" s="203">
        <v>1.1538861902446025</v>
      </c>
      <c r="BC57" s="139">
        <v>249</v>
      </c>
      <c r="BD57" s="204">
        <v>0.9</v>
      </c>
      <c r="BE57" s="139">
        <v>18729.907801024532</v>
      </c>
      <c r="BF57" s="139">
        <v>11000</v>
      </c>
      <c r="BG57" s="205">
        <v>0.65</v>
      </c>
      <c r="BH57" s="205">
        <v>0.65</v>
      </c>
      <c r="BI57" s="204">
        <v>0.2</v>
      </c>
      <c r="BJ57" s="142">
        <v>0.6</v>
      </c>
      <c r="BK57" s="205">
        <v>0.2</v>
      </c>
      <c r="BL57" s="170"/>
    </row>
    <row r="58" spans="1:64" x14ac:dyDescent="0.2">
      <c r="A58" s="91">
        <v>62</v>
      </c>
      <c r="B58" s="132" t="s">
        <v>69</v>
      </c>
      <c r="C58" s="155">
        <v>4282200</v>
      </c>
      <c r="D58" s="155">
        <v>1396900</v>
      </c>
      <c r="E58" s="155">
        <v>256800</v>
      </c>
      <c r="F58" s="155">
        <v>438400</v>
      </c>
      <c r="G58" s="97"/>
      <c r="H58" s="97"/>
      <c r="I58" s="164">
        <v>0</v>
      </c>
      <c r="J58" s="164"/>
      <c r="K58" s="165">
        <v>0</v>
      </c>
      <c r="L58" s="166">
        <v>1.45</v>
      </c>
      <c r="M58" s="118">
        <v>1.45</v>
      </c>
      <c r="N58" s="133">
        <v>5034</v>
      </c>
      <c r="O58" s="133">
        <v>5012</v>
      </c>
      <c r="P58" s="167">
        <v>2410.2285999999999</v>
      </c>
      <c r="Q58" s="133">
        <v>465</v>
      </c>
      <c r="R58" s="168">
        <v>0</v>
      </c>
      <c r="S58" s="169">
        <v>4354.5886899999996</v>
      </c>
      <c r="T58" s="135">
        <v>569</v>
      </c>
      <c r="U58" s="97">
        <v>18</v>
      </c>
      <c r="V58" s="139">
        <v>1.02</v>
      </c>
      <c r="W58" s="136">
        <v>449157.2</v>
      </c>
      <c r="X58" s="123">
        <v>1153529.1000000001</v>
      </c>
      <c r="Y58" s="137">
        <v>933237.45000000007</v>
      </c>
      <c r="Z58" s="123">
        <v>1980.2024248197217</v>
      </c>
      <c r="AA58" s="123">
        <v>42.591519666269377</v>
      </c>
      <c r="AB58" s="123">
        <v>133.77757250695274</v>
      </c>
      <c r="AC58" s="123">
        <v>137.89047794772679</v>
      </c>
      <c r="AD58" s="123">
        <v>69.638726658720699</v>
      </c>
      <c r="AE58" s="123">
        <v>51.894626539531188</v>
      </c>
      <c r="AF58" s="122">
        <v>2415.9953481389221</v>
      </c>
      <c r="AG58" s="123">
        <v>1897.76246074655</v>
      </c>
      <c r="AH58" s="123">
        <v>51.435814046288904</v>
      </c>
      <c r="AI58" s="123">
        <v>210.53631284916202</v>
      </c>
      <c r="AJ58" s="123">
        <v>143.80395848726678</v>
      </c>
      <c r="AK58" s="123">
        <v>69.504010375099753</v>
      </c>
      <c r="AL58" s="123">
        <v>100.59899241819632</v>
      </c>
      <c r="AM58" s="122">
        <v>2473.6415489225637</v>
      </c>
      <c r="AN58" s="138">
        <v>1938.9824427831359</v>
      </c>
      <c r="AO58" s="139">
        <v>47.013666856279144</v>
      </c>
      <c r="AP58" s="140">
        <v>172.15694267805736</v>
      </c>
      <c r="AQ58" s="140">
        <v>140.84721821749679</v>
      </c>
      <c r="AR58" s="139">
        <v>69.571368516910226</v>
      </c>
      <c r="AS58" s="141">
        <v>76.246809478863753</v>
      </c>
      <c r="AT58" s="122">
        <v>2444.8184485307434</v>
      </c>
      <c r="AU58" s="136">
        <v>3432.7811739527956</v>
      </c>
      <c r="AV58" s="142">
        <v>0.96</v>
      </c>
      <c r="AW58" s="143">
        <v>0</v>
      </c>
      <c r="AX58" s="213">
        <v>1.4030760716521586</v>
      </c>
      <c r="AY58" s="214">
        <v>3.4798809534102505E-2</v>
      </c>
      <c r="AZ58" s="214">
        <v>-7.3800818973715016E-2</v>
      </c>
      <c r="BA58" s="214">
        <v>7.1053428687734496E-2</v>
      </c>
      <c r="BB58" s="203">
        <v>1.1538861902446025</v>
      </c>
      <c r="BC58" s="139">
        <v>249</v>
      </c>
      <c r="BD58" s="204">
        <v>0.9</v>
      </c>
      <c r="BE58" s="139">
        <v>18729.907801024532</v>
      </c>
      <c r="BF58" s="139">
        <v>11000</v>
      </c>
      <c r="BG58" s="205">
        <v>0.65</v>
      </c>
      <c r="BH58" s="205">
        <v>0.65</v>
      </c>
      <c r="BI58" s="204">
        <v>0.2</v>
      </c>
      <c r="BJ58" s="142">
        <v>0.6</v>
      </c>
      <c r="BK58" s="205">
        <v>0.2</v>
      </c>
      <c r="BL58" s="170"/>
    </row>
    <row r="59" spans="1:64" x14ac:dyDescent="0.2">
      <c r="A59" s="91">
        <v>63</v>
      </c>
      <c r="B59" s="132" t="s">
        <v>70</v>
      </c>
      <c r="C59" s="155">
        <v>6957300</v>
      </c>
      <c r="D59" s="155">
        <v>1143700</v>
      </c>
      <c r="E59" s="155">
        <v>380100</v>
      </c>
      <c r="F59" s="155">
        <v>252300</v>
      </c>
      <c r="G59" s="97"/>
      <c r="H59" s="97"/>
      <c r="I59" s="164">
        <v>0</v>
      </c>
      <c r="J59" s="164"/>
      <c r="K59" s="165">
        <v>0</v>
      </c>
      <c r="L59" s="166">
        <v>1.43</v>
      </c>
      <c r="M59" s="118">
        <v>1.39</v>
      </c>
      <c r="N59" s="133">
        <v>8630</v>
      </c>
      <c r="O59" s="133">
        <v>8713</v>
      </c>
      <c r="P59" s="167">
        <v>3159.5411999999992</v>
      </c>
      <c r="Q59" s="133">
        <v>714</v>
      </c>
      <c r="R59" s="168">
        <v>0</v>
      </c>
      <c r="S59" s="169">
        <v>5117.5464599999996</v>
      </c>
      <c r="T59" s="135">
        <v>974</v>
      </c>
      <c r="U59" s="97">
        <v>33</v>
      </c>
      <c r="V59" s="139">
        <v>1.08</v>
      </c>
      <c r="W59" s="136">
        <v>37015.85</v>
      </c>
      <c r="X59" s="123">
        <v>1819540.01</v>
      </c>
      <c r="Y59" s="137">
        <v>1464447.95</v>
      </c>
      <c r="Z59" s="123">
        <v>1939.6531497641113</v>
      </c>
      <c r="AA59" s="123">
        <v>58.200243337195829</v>
      </c>
      <c r="AB59" s="123">
        <v>183.66610081112398</v>
      </c>
      <c r="AC59" s="123">
        <v>129.07755759431598</v>
      </c>
      <c r="AD59" s="123">
        <v>77.752375434530705</v>
      </c>
      <c r="AE59" s="123">
        <v>67.58411935110081</v>
      </c>
      <c r="AF59" s="122">
        <v>2455.9335462923791</v>
      </c>
      <c r="AG59" s="123">
        <v>1919.9223946845871</v>
      </c>
      <c r="AH59" s="123">
        <v>63.889194307356831</v>
      </c>
      <c r="AI59" s="123">
        <v>175.79200619763574</v>
      </c>
      <c r="AJ59" s="123">
        <v>131.36027839399532</v>
      </c>
      <c r="AK59" s="123">
        <v>118.00618615861357</v>
      </c>
      <c r="AL59" s="123">
        <v>113.67359692413635</v>
      </c>
      <c r="AM59" s="122">
        <v>2522.6436566663251</v>
      </c>
      <c r="AN59" s="138">
        <v>1929.7877722243493</v>
      </c>
      <c r="AO59" s="139">
        <v>61.04471882227633</v>
      </c>
      <c r="AP59" s="140">
        <v>179.72905350437986</v>
      </c>
      <c r="AQ59" s="140">
        <v>130.21891799415565</v>
      </c>
      <c r="AR59" s="139">
        <v>97.879280796572147</v>
      </c>
      <c r="AS59" s="141">
        <v>90.628858137618579</v>
      </c>
      <c r="AT59" s="122">
        <v>2489.2886014793517</v>
      </c>
      <c r="AU59" s="136">
        <v>3432.7811739527956</v>
      </c>
      <c r="AV59" s="142">
        <v>0.96</v>
      </c>
      <c r="AW59" s="143">
        <v>0</v>
      </c>
      <c r="AX59" s="213">
        <v>0.69331336353627659</v>
      </c>
      <c r="AY59" s="214">
        <v>2.7357576695591898E-2</v>
      </c>
      <c r="AZ59" s="214">
        <v>-7.3800818973715016E-2</v>
      </c>
      <c r="BA59" s="214">
        <v>2.9014054652431343E-2</v>
      </c>
      <c r="BB59" s="203">
        <v>1.1538861902446025</v>
      </c>
      <c r="BC59" s="139">
        <v>249</v>
      </c>
      <c r="BD59" s="204">
        <v>0.9</v>
      </c>
      <c r="BE59" s="139">
        <v>18729.907801024532</v>
      </c>
      <c r="BF59" s="139">
        <v>11000</v>
      </c>
      <c r="BG59" s="205">
        <v>0.65</v>
      </c>
      <c r="BH59" s="205">
        <v>0.65</v>
      </c>
      <c r="BI59" s="204">
        <v>0.2</v>
      </c>
      <c r="BJ59" s="142">
        <v>0.6</v>
      </c>
      <c r="BK59" s="205">
        <v>0.2</v>
      </c>
      <c r="BL59" s="170"/>
    </row>
    <row r="60" spans="1:64" x14ac:dyDescent="0.2">
      <c r="A60" s="91">
        <v>64</v>
      </c>
      <c r="B60" s="132" t="s">
        <v>71</v>
      </c>
      <c r="C60" s="155">
        <v>873600</v>
      </c>
      <c r="D60" s="155">
        <v>0</v>
      </c>
      <c r="E60" s="155">
        <v>0</v>
      </c>
      <c r="F60" s="155">
        <v>0</v>
      </c>
      <c r="G60" s="97"/>
      <c r="H60" s="97"/>
      <c r="I60" s="164">
        <v>0</v>
      </c>
      <c r="J60" s="164"/>
      <c r="K60" s="165">
        <v>0</v>
      </c>
      <c r="L60" s="166">
        <v>1.4</v>
      </c>
      <c r="M60" s="118">
        <v>1.4</v>
      </c>
      <c r="N60" s="133">
        <v>1907</v>
      </c>
      <c r="O60" s="133">
        <v>1871</v>
      </c>
      <c r="P60" s="167">
        <v>356.24779999999998</v>
      </c>
      <c r="Q60" s="133">
        <v>9</v>
      </c>
      <c r="R60" s="168">
        <v>0</v>
      </c>
      <c r="S60" s="169">
        <v>282.00812999999999</v>
      </c>
      <c r="T60" s="135">
        <v>195</v>
      </c>
      <c r="U60" s="97">
        <v>4</v>
      </c>
      <c r="V60" s="139">
        <v>1.07</v>
      </c>
      <c r="W60" s="136">
        <v>27906.25</v>
      </c>
      <c r="X60" s="123">
        <v>317655.14999999997</v>
      </c>
      <c r="Y60" s="137">
        <v>246080.15</v>
      </c>
      <c r="Z60" s="123">
        <v>2330.3837037606454</v>
      </c>
      <c r="AA60" s="123">
        <v>80.598432092291532</v>
      </c>
      <c r="AB60" s="123">
        <v>159.44614577871005</v>
      </c>
      <c r="AC60" s="123">
        <v>120.73346266936726</v>
      </c>
      <c r="AD60" s="123">
        <v>80.234084950183529</v>
      </c>
      <c r="AE60" s="123">
        <v>18.311510225485058</v>
      </c>
      <c r="AF60" s="122">
        <v>2789.707339476683</v>
      </c>
      <c r="AG60" s="123">
        <v>2395.2872957652417</v>
      </c>
      <c r="AH60" s="123">
        <v>74.70114911811865</v>
      </c>
      <c r="AI60" s="123">
        <v>139.22763228220202</v>
      </c>
      <c r="AJ60" s="123">
        <v>126.57932620665794</v>
      </c>
      <c r="AK60" s="123">
        <v>109.50900587920898</v>
      </c>
      <c r="AL60" s="123">
        <v>39.731453768038484</v>
      </c>
      <c r="AM60" s="122">
        <v>2885.0358630194683</v>
      </c>
      <c r="AN60" s="138">
        <v>2362.8354997629435</v>
      </c>
      <c r="AO60" s="139">
        <v>77.649790605205084</v>
      </c>
      <c r="AP60" s="140">
        <v>149.33688903045604</v>
      </c>
      <c r="AQ60" s="140">
        <v>123.6563944380126</v>
      </c>
      <c r="AR60" s="139">
        <v>94.871545414696257</v>
      </c>
      <c r="AS60" s="141">
        <v>29.021481996761771</v>
      </c>
      <c r="AT60" s="122">
        <v>2837.3716012480754</v>
      </c>
      <c r="AU60" s="136">
        <v>3432.7811739527956</v>
      </c>
      <c r="AV60" s="142">
        <v>0.96</v>
      </c>
      <c r="AW60" s="143">
        <v>0</v>
      </c>
      <c r="AX60" s="213">
        <v>-0.34022654660451362</v>
      </c>
      <c r="AY60" s="214">
        <v>-2.563831413200798E-2</v>
      </c>
      <c r="AZ60" s="214">
        <v>-7.3800818973715016E-2</v>
      </c>
      <c r="BA60" s="214">
        <v>-3.6194199107149348E-2</v>
      </c>
      <c r="BB60" s="203">
        <v>1.1538861902446025</v>
      </c>
      <c r="BC60" s="139">
        <v>249</v>
      </c>
      <c r="BD60" s="204">
        <v>0.9</v>
      </c>
      <c r="BE60" s="139">
        <v>18729.907801024532</v>
      </c>
      <c r="BF60" s="139">
        <v>11000</v>
      </c>
      <c r="BG60" s="205">
        <v>0.65</v>
      </c>
      <c r="BH60" s="205">
        <v>0.65</v>
      </c>
      <c r="BI60" s="204">
        <v>0.2</v>
      </c>
      <c r="BJ60" s="142">
        <v>0.6</v>
      </c>
      <c r="BK60" s="205">
        <v>0.2</v>
      </c>
      <c r="BL60" s="170"/>
    </row>
    <row r="61" spans="1:64" x14ac:dyDescent="0.2">
      <c r="A61" s="91">
        <v>65</v>
      </c>
      <c r="B61" s="132" t="s">
        <v>72</v>
      </c>
      <c r="C61" s="155">
        <v>1149200</v>
      </c>
      <c r="D61" s="155">
        <v>764200</v>
      </c>
      <c r="E61" s="155">
        <v>196100</v>
      </c>
      <c r="F61" s="155">
        <v>0</v>
      </c>
      <c r="G61" s="97"/>
      <c r="H61" s="97"/>
      <c r="I61" s="164">
        <v>0</v>
      </c>
      <c r="J61" s="164"/>
      <c r="K61" s="165">
        <v>0</v>
      </c>
      <c r="L61" s="166">
        <v>1.53</v>
      </c>
      <c r="M61" s="118">
        <v>1.53</v>
      </c>
      <c r="N61" s="133">
        <v>1296</v>
      </c>
      <c r="O61" s="133">
        <v>1267</v>
      </c>
      <c r="P61" s="167">
        <v>893.70439999999996</v>
      </c>
      <c r="Q61" s="133">
        <v>678</v>
      </c>
      <c r="R61" s="168">
        <v>0</v>
      </c>
      <c r="S61" s="169">
        <v>1265.0126299999999</v>
      </c>
      <c r="T61" s="135">
        <v>155</v>
      </c>
      <c r="U61" s="97">
        <v>7</v>
      </c>
      <c r="V61" s="139">
        <v>0.94</v>
      </c>
      <c r="W61" s="136">
        <v>13532.05</v>
      </c>
      <c r="X61" s="123">
        <v>130590.35</v>
      </c>
      <c r="Y61" s="137">
        <v>130816.75</v>
      </c>
      <c r="Z61" s="123">
        <v>1954.4005291278775</v>
      </c>
      <c r="AA61" s="123">
        <v>46.441820987654324</v>
      </c>
      <c r="AB61" s="123">
        <v>79.968634259259261</v>
      </c>
      <c r="AC61" s="123">
        <v>117.45891527117442</v>
      </c>
      <c r="AD61" s="123">
        <v>39.492013888888891</v>
      </c>
      <c r="AE61" s="123">
        <v>28.032368827160493</v>
      </c>
      <c r="AF61" s="122">
        <v>2265.7942823620151</v>
      </c>
      <c r="AG61" s="123">
        <v>1994.8157426973021</v>
      </c>
      <c r="AH61" s="123">
        <v>53.298389897395431</v>
      </c>
      <c r="AI61" s="123">
        <v>153.9686266771902</v>
      </c>
      <c r="AJ61" s="123">
        <v>122.13885455046737</v>
      </c>
      <c r="AK61" s="123">
        <v>123.43074191002368</v>
      </c>
      <c r="AL61" s="123">
        <v>104.04262036306235</v>
      </c>
      <c r="AM61" s="122">
        <v>2551.6949760954408</v>
      </c>
      <c r="AN61" s="138">
        <v>1974.6081359125897</v>
      </c>
      <c r="AO61" s="139">
        <v>49.870105442524874</v>
      </c>
      <c r="AP61" s="140">
        <v>116.96863046822473</v>
      </c>
      <c r="AQ61" s="140">
        <v>119.7988849108209</v>
      </c>
      <c r="AR61" s="139">
        <v>81.461377899456295</v>
      </c>
      <c r="AS61" s="141">
        <v>66.037494595111426</v>
      </c>
      <c r="AT61" s="122">
        <v>2408.7446292287282</v>
      </c>
      <c r="AU61" s="136">
        <v>3432.7811739527956</v>
      </c>
      <c r="AV61" s="142">
        <v>0.96</v>
      </c>
      <c r="AW61" s="143">
        <v>0</v>
      </c>
      <c r="AX61" s="213">
        <v>2.7502456669050663</v>
      </c>
      <c r="AY61" s="214">
        <v>0.33870865690378937</v>
      </c>
      <c r="AZ61" s="214">
        <v>-7.3800818973715016E-2</v>
      </c>
      <c r="BA61" s="214">
        <v>9.0408734918805467E-2</v>
      </c>
      <c r="BB61" s="203">
        <v>1.1538861902446025</v>
      </c>
      <c r="BC61" s="139">
        <v>249</v>
      </c>
      <c r="BD61" s="204">
        <v>0.9</v>
      </c>
      <c r="BE61" s="139">
        <v>18729.907801024532</v>
      </c>
      <c r="BF61" s="139">
        <v>11000</v>
      </c>
      <c r="BG61" s="205">
        <v>0.65</v>
      </c>
      <c r="BH61" s="205">
        <v>0.65</v>
      </c>
      <c r="BI61" s="204">
        <v>0.2</v>
      </c>
      <c r="BJ61" s="142">
        <v>0.6</v>
      </c>
      <c r="BK61" s="205">
        <v>0.2</v>
      </c>
      <c r="BL61" s="170"/>
    </row>
    <row r="62" spans="1:64" x14ac:dyDescent="0.2">
      <c r="A62" s="91">
        <v>66</v>
      </c>
      <c r="B62" s="132" t="s">
        <v>73</v>
      </c>
      <c r="C62" s="155">
        <v>4998700</v>
      </c>
      <c r="D62" s="155">
        <v>2747400</v>
      </c>
      <c r="E62" s="155">
        <v>418200</v>
      </c>
      <c r="F62" s="155">
        <v>425100</v>
      </c>
      <c r="G62" s="97"/>
      <c r="H62" s="97"/>
      <c r="I62" s="164">
        <v>0</v>
      </c>
      <c r="J62" s="164"/>
      <c r="K62" s="165">
        <v>0</v>
      </c>
      <c r="L62" s="166">
        <v>1.45</v>
      </c>
      <c r="M62" s="118">
        <v>1.45</v>
      </c>
      <c r="N62" s="133">
        <v>4014</v>
      </c>
      <c r="O62" s="133">
        <v>4043</v>
      </c>
      <c r="P62" s="167">
        <v>2958.2659999999996</v>
      </c>
      <c r="Q62" s="133">
        <v>1447</v>
      </c>
      <c r="R62" s="168">
        <v>7850.89415549356</v>
      </c>
      <c r="S62" s="169">
        <v>4900.15193</v>
      </c>
      <c r="T62" s="135">
        <v>472</v>
      </c>
      <c r="U62" s="97">
        <v>17</v>
      </c>
      <c r="V62" s="139">
        <v>1.06</v>
      </c>
      <c r="W62" s="136">
        <v>625374.95000000007</v>
      </c>
      <c r="X62" s="123">
        <v>886025.1</v>
      </c>
      <c r="Y62" s="137">
        <v>653425.75</v>
      </c>
      <c r="Z62" s="123">
        <v>1758.4783760526245</v>
      </c>
      <c r="AA62" s="123">
        <v>36.81179123069257</v>
      </c>
      <c r="AB62" s="123">
        <v>41.290072247135029</v>
      </c>
      <c r="AC62" s="123">
        <v>118.46271262654788</v>
      </c>
      <c r="AD62" s="123">
        <v>74.564324862979575</v>
      </c>
      <c r="AE62" s="123">
        <v>64.926482311908316</v>
      </c>
      <c r="AF62" s="122">
        <v>2094.5337593318877</v>
      </c>
      <c r="AG62" s="123">
        <v>1675.427476718216</v>
      </c>
      <c r="AH62" s="123">
        <v>34.168501113034885</v>
      </c>
      <c r="AI62" s="123">
        <v>54.721704180064307</v>
      </c>
      <c r="AJ62" s="123">
        <v>121.29881016005835</v>
      </c>
      <c r="AK62" s="123">
        <v>67.099851595349989</v>
      </c>
      <c r="AL62" s="123">
        <v>53.053932723225323</v>
      </c>
      <c r="AM62" s="122">
        <v>2005.7702764899486</v>
      </c>
      <c r="AN62" s="138">
        <v>1716.9529263854201</v>
      </c>
      <c r="AO62" s="139">
        <v>35.490146171863728</v>
      </c>
      <c r="AP62" s="140">
        <v>48.005888213599668</v>
      </c>
      <c r="AQ62" s="140">
        <v>119.88076139330312</v>
      </c>
      <c r="AR62" s="139">
        <v>70.832088229164782</v>
      </c>
      <c r="AS62" s="141">
        <v>58.990207517566816</v>
      </c>
      <c r="AT62" s="122">
        <v>2050.1520179109184</v>
      </c>
      <c r="AU62" s="136">
        <v>3432.7811739527956</v>
      </c>
      <c r="AV62" s="142">
        <v>0.96</v>
      </c>
      <c r="AW62" s="143">
        <v>0</v>
      </c>
      <c r="AX62" s="213">
        <v>2.9082618232503159</v>
      </c>
      <c r="AY62" s="214">
        <v>0.21695111768482012</v>
      </c>
      <c r="AZ62" s="214">
        <v>0.25144324285918962</v>
      </c>
      <c r="BA62" s="214">
        <v>0.1223060509317519</v>
      </c>
      <c r="BB62" s="203">
        <v>1.1538861902446025</v>
      </c>
      <c r="BC62" s="139">
        <v>249</v>
      </c>
      <c r="BD62" s="204">
        <v>0.9</v>
      </c>
      <c r="BE62" s="139">
        <v>18729.907801024532</v>
      </c>
      <c r="BF62" s="139">
        <v>11000</v>
      </c>
      <c r="BG62" s="205">
        <v>0.65</v>
      </c>
      <c r="BH62" s="205">
        <v>0.65</v>
      </c>
      <c r="BI62" s="204">
        <v>0.2</v>
      </c>
      <c r="BJ62" s="142">
        <v>0.6</v>
      </c>
      <c r="BK62" s="205">
        <v>0.2</v>
      </c>
      <c r="BL62" s="170"/>
    </row>
    <row r="63" spans="1:64" x14ac:dyDescent="0.2">
      <c r="A63" s="91">
        <v>67</v>
      </c>
      <c r="B63" s="132" t="s">
        <v>74</v>
      </c>
      <c r="C63" s="155">
        <v>1245800</v>
      </c>
      <c r="D63" s="155">
        <v>1373500</v>
      </c>
      <c r="E63" s="155">
        <v>451700</v>
      </c>
      <c r="F63" s="155">
        <v>20700</v>
      </c>
      <c r="G63" s="97"/>
      <c r="H63" s="97"/>
      <c r="I63" s="164">
        <v>0</v>
      </c>
      <c r="J63" s="164"/>
      <c r="K63" s="165">
        <v>0</v>
      </c>
      <c r="L63" s="166">
        <v>1.48</v>
      </c>
      <c r="M63" s="118">
        <v>1.48</v>
      </c>
      <c r="N63" s="133">
        <v>914</v>
      </c>
      <c r="O63" s="133">
        <v>920</v>
      </c>
      <c r="P63" s="167">
        <v>1281.5839999999996</v>
      </c>
      <c r="Q63" s="133">
        <v>862</v>
      </c>
      <c r="R63" s="168">
        <v>0</v>
      </c>
      <c r="S63" s="169">
        <v>2018.86808</v>
      </c>
      <c r="T63" s="135">
        <v>139</v>
      </c>
      <c r="U63" s="97">
        <v>3</v>
      </c>
      <c r="V63" s="139">
        <v>0.96</v>
      </c>
      <c r="W63" s="136">
        <v>15158.5</v>
      </c>
      <c r="X63" s="123">
        <v>160411.95000000001</v>
      </c>
      <c r="Y63" s="137">
        <v>165065.45000000001</v>
      </c>
      <c r="Z63" s="123">
        <v>1523.3981846409947</v>
      </c>
      <c r="AA63" s="123">
        <v>32.44397155361051</v>
      </c>
      <c r="AB63" s="123">
        <v>41.916684901531724</v>
      </c>
      <c r="AC63" s="123">
        <v>141.90913521673758</v>
      </c>
      <c r="AD63" s="123">
        <v>61.434628008752732</v>
      </c>
      <c r="AE63" s="123">
        <v>69.88249452954048</v>
      </c>
      <c r="AF63" s="122">
        <v>1870.9850988511678</v>
      </c>
      <c r="AG63" s="123">
        <v>1614.5842987993919</v>
      </c>
      <c r="AH63" s="123">
        <v>46.268586956521737</v>
      </c>
      <c r="AI63" s="123">
        <v>35.853097826086952</v>
      </c>
      <c r="AJ63" s="123">
        <v>143.9160213852106</v>
      </c>
      <c r="AK63" s="123">
        <v>53.81630434782609</v>
      </c>
      <c r="AL63" s="123">
        <v>99.449076086956509</v>
      </c>
      <c r="AM63" s="122">
        <v>1993.8873854019937</v>
      </c>
      <c r="AN63" s="138">
        <v>1568.9912417201933</v>
      </c>
      <c r="AO63" s="139">
        <v>39.356279255066127</v>
      </c>
      <c r="AP63" s="140">
        <v>38.884891363809338</v>
      </c>
      <c r="AQ63" s="140">
        <v>142.91257830097408</v>
      </c>
      <c r="AR63" s="139">
        <v>57.625466178289415</v>
      </c>
      <c r="AS63" s="141">
        <v>84.665785308248502</v>
      </c>
      <c r="AT63" s="122">
        <v>1932.4362421265807</v>
      </c>
      <c r="AU63" s="136">
        <v>3432.7811739527956</v>
      </c>
      <c r="AV63" s="142">
        <v>0.96</v>
      </c>
      <c r="AW63" s="143">
        <v>0</v>
      </c>
      <c r="AX63" s="213">
        <v>6.8770866243567879</v>
      </c>
      <c r="AY63" s="214">
        <v>0.61478584887303711</v>
      </c>
      <c r="AZ63" s="214">
        <v>-7.3800818973715016E-2</v>
      </c>
      <c r="BA63" s="214">
        <v>0.26902723287705504</v>
      </c>
      <c r="BB63" s="203">
        <v>1.1538861902446025</v>
      </c>
      <c r="BC63" s="139">
        <v>249</v>
      </c>
      <c r="BD63" s="204">
        <v>0.9</v>
      </c>
      <c r="BE63" s="139">
        <v>18729.907801024532</v>
      </c>
      <c r="BF63" s="139">
        <v>11000</v>
      </c>
      <c r="BG63" s="205">
        <v>0.65</v>
      </c>
      <c r="BH63" s="205">
        <v>0.65</v>
      </c>
      <c r="BI63" s="204">
        <v>0.2</v>
      </c>
      <c r="BJ63" s="142">
        <v>0.6</v>
      </c>
      <c r="BK63" s="205">
        <v>0.2</v>
      </c>
      <c r="BL63" s="170"/>
    </row>
    <row r="64" spans="1:64" x14ac:dyDescent="0.2">
      <c r="A64" s="91">
        <v>70</v>
      </c>
      <c r="B64" s="132" t="s">
        <v>75</v>
      </c>
      <c r="C64" s="155">
        <v>3134900</v>
      </c>
      <c r="D64" s="155">
        <v>950800</v>
      </c>
      <c r="E64" s="155">
        <v>716100</v>
      </c>
      <c r="F64" s="155">
        <v>0</v>
      </c>
      <c r="G64" s="97"/>
      <c r="H64" s="97"/>
      <c r="I64" s="164">
        <v>0</v>
      </c>
      <c r="J64" s="164"/>
      <c r="K64" s="165">
        <v>0</v>
      </c>
      <c r="L64" s="166">
        <v>1.37</v>
      </c>
      <c r="M64" s="118">
        <v>1.37</v>
      </c>
      <c r="N64" s="133">
        <v>4734</v>
      </c>
      <c r="O64" s="133">
        <v>4729</v>
      </c>
      <c r="P64" s="167">
        <v>2053.3166000000001</v>
      </c>
      <c r="Q64" s="133">
        <v>34</v>
      </c>
      <c r="R64" s="168">
        <v>0</v>
      </c>
      <c r="S64" s="169">
        <v>2183.3847999999998</v>
      </c>
      <c r="T64" s="135">
        <v>581</v>
      </c>
      <c r="U64" s="97">
        <v>10</v>
      </c>
      <c r="V64" s="139">
        <v>0.99</v>
      </c>
      <c r="W64" s="136">
        <v>197011.7</v>
      </c>
      <c r="X64" s="123">
        <v>714859.95000000007</v>
      </c>
      <c r="Y64" s="137">
        <v>588063.85</v>
      </c>
      <c r="Z64" s="123">
        <v>2203.8688006304878</v>
      </c>
      <c r="AA64" s="123">
        <v>41.591742712294035</v>
      </c>
      <c r="AB64" s="123">
        <v>158.63606886354034</v>
      </c>
      <c r="AC64" s="123">
        <v>130.16069242880067</v>
      </c>
      <c r="AD64" s="123">
        <v>54.271208280523865</v>
      </c>
      <c r="AE64" s="123">
        <v>49.43116814533164</v>
      </c>
      <c r="AF64" s="122">
        <v>2637.9596810609783</v>
      </c>
      <c r="AG64" s="123">
        <v>2043.7057349298186</v>
      </c>
      <c r="AH64" s="123">
        <v>51.256967646436877</v>
      </c>
      <c r="AI64" s="123">
        <v>179.88478536688515</v>
      </c>
      <c r="AJ64" s="123">
        <v>135.45071584901146</v>
      </c>
      <c r="AK64" s="123">
        <v>134.03847536477056</v>
      </c>
      <c r="AL64" s="123">
        <v>84.205973778811583</v>
      </c>
      <c r="AM64" s="122">
        <v>2628.5426529357346</v>
      </c>
      <c r="AN64" s="138">
        <v>2123.7872677801533</v>
      </c>
      <c r="AO64" s="139">
        <v>46.424355179365456</v>
      </c>
      <c r="AP64" s="140">
        <v>169.26042711521274</v>
      </c>
      <c r="AQ64" s="140">
        <v>132.80570413890607</v>
      </c>
      <c r="AR64" s="139">
        <v>94.154841822647214</v>
      </c>
      <c r="AS64" s="141">
        <v>66.818570962071618</v>
      </c>
      <c r="AT64" s="122">
        <v>2633.2511669983564</v>
      </c>
      <c r="AU64" s="136">
        <v>3432.7811739527956</v>
      </c>
      <c r="AV64" s="142">
        <v>0.96</v>
      </c>
      <c r="AW64" s="143">
        <v>0</v>
      </c>
      <c r="AX64" s="213">
        <v>1.1228456938870897</v>
      </c>
      <c r="AY64" s="214">
        <v>-2.400355212086696E-2</v>
      </c>
      <c r="AZ64" s="214">
        <v>-7.3800818973715016E-2</v>
      </c>
      <c r="BA64" s="214">
        <v>1.0249265344328061E-2</v>
      </c>
      <c r="BB64" s="203">
        <v>1.1538861902446025</v>
      </c>
      <c r="BC64" s="139">
        <v>249</v>
      </c>
      <c r="BD64" s="204">
        <v>0.9</v>
      </c>
      <c r="BE64" s="139">
        <v>18729.907801024532</v>
      </c>
      <c r="BF64" s="139">
        <v>11000</v>
      </c>
      <c r="BG64" s="205">
        <v>0.65</v>
      </c>
      <c r="BH64" s="205">
        <v>0.65</v>
      </c>
      <c r="BI64" s="204">
        <v>0.2</v>
      </c>
      <c r="BJ64" s="142">
        <v>0.6</v>
      </c>
      <c r="BK64" s="205">
        <v>0.2</v>
      </c>
      <c r="BL64" s="170"/>
    </row>
    <row r="65" spans="1:64" x14ac:dyDescent="0.2">
      <c r="A65" s="91">
        <v>71</v>
      </c>
      <c r="B65" s="132" t="s">
        <v>76</v>
      </c>
      <c r="C65" s="155">
        <v>1287000</v>
      </c>
      <c r="D65" s="155">
        <v>647400</v>
      </c>
      <c r="E65" s="155">
        <v>675200</v>
      </c>
      <c r="F65" s="155">
        <v>0</v>
      </c>
      <c r="G65" s="97"/>
      <c r="H65" s="97"/>
      <c r="I65" s="164">
        <v>0</v>
      </c>
      <c r="J65" s="164"/>
      <c r="K65" s="165">
        <v>0</v>
      </c>
      <c r="L65" s="166">
        <v>1.35</v>
      </c>
      <c r="M65" s="118">
        <v>1.35</v>
      </c>
      <c r="N65" s="133">
        <v>1541</v>
      </c>
      <c r="O65" s="133">
        <v>1565</v>
      </c>
      <c r="P65" s="167">
        <v>925.45300000000009</v>
      </c>
      <c r="Q65" s="133">
        <v>54</v>
      </c>
      <c r="R65" s="168">
        <v>1621.8709427428</v>
      </c>
      <c r="S65" s="169">
        <v>1409.60429</v>
      </c>
      <c r="T65" s="135">
        <v>224</v>
      </c>
      <c r="U65" s="97">
        <v>12</v>
      </c>
      <c r="V65" s="139">
        <v>0.98</v>
      </c>
      <c r="W65" s="136">
        <v>40399.999999999993</v>
      </c>
      <c r="X65" s="123">
        <v>209518.14999999997</v>
      </c>
      <c r="Y65" s="137">
        <v>230004.44999999998</v>
      </c>
      <c r="Z65" s="123">
        <v>1958.1451879116012</v>
      </c>
      <c r="AA65" s="123">
        <v>67.632329656067483</v>
      </c>
      <c r="AB65" s="123">
        <v>108.91839714471122</v>
      </c>
      <c r="AC65" s="123">
        <v>132.1966488502853</v>
      </c>
      <c r="AD65" s="123">
        <v>100.63335496430889</v>
      </c>
      <c r="AE65" s="123">
        <v>91.157268007787152</v>
      </c>
      <c r="AF65" s="122">
        <v>2458.6831865347613</v>
      </c>
      <c r="AG65" s="123">
        <v>1992.789784001304</v>
      </c>
      <c r="AH65" s="123">
        <v>64.934249201277964</v>
      </c>
      <c r="AI65" s="123">
        <v>122.40543130990416</v>
      </c>
      <c r="AJ65" s="123">
        <v>133.02002236751861</v>
      </c>
      <c r="AK65" s="123">
        <v>74.766869009584667</v>
      </c>
      <c r="AL65" s="123">
        <v>74.054696485623012</v>
      </c>
      <c r="AM65" s="122">
        <v>2461.9710523752128</v>
      </c>
      <c r="AN65" s="138">
        <v>1975.4674859564525</v>
      </c>
      <c r="AO65" s="139">
        <v>66.283289428672731</v>
      </c>
      <c r="AP65" s="140">
        <v>115.66191422730769</v>
      </c>
      <c r="AQ65" s="140">
        <v>132.60833560890194</v>
      </c>
      <c r="AR65" s="139">
        <v>87.70011198694678</v>
      </c>
      <c r="AS65" s="141">
        <v>82.605982246705082</v>
      </c>
      <c r="AT65" s="122">
        <v>2460.327119454987</v>
      </c>
      <c r="AU65" s="136">
        <v>3432.7811739527956</v>
      </c>
      <c r="AV65" s="142">
        <v>0.96</v>
      </c>
      <c r="AW65" s="143">
        <v>0</v>
      </c>
      <c r="AX65" s="213">
        <v>2.0659349459135017</v>
      </c>
      <c r="AY65" s="214">
        <v>-5.2369075907931634E-3</v>
      </c>
      <c r="AZ65" s="214">
        <v>-6.6105241182791335E-3</v>
      </c>
      <c r="BA65" s="214">
        <v>7.5813601625995791E-2</v>
      </c>
      <c r="BB65" s="203">
        <v>1.1538861902446025</v>
      </c>
      <c r="BC65" s="139">
        <v>249</v>
      </c>
      <c r="BD65" s="204">
        <v>0.9</v>
      </c>
      <c r="BE65" s="139">
        <v>18729.907801024532</v>
      </c>
      <c r="BF65" s="139">
        <v>11000</v>
      </c>
      <c r="BG65" s="205">
        <v>0.65</v>
      </c>
      <c r="BH65" s="205">
        <v>0.65</v>
      </c>
      <c r="BI65" s="204">
        <v>0.2</v>
      </c>
      <c r="BJ65" s="142">
        <v>0.6</v>
      </c>
      <c r="BK65" s="205">
        <v>0.2</v>
      </c>
      <c r="BL65" s="170"/>
    </row>
    <row r="66" spans="1:64" x14ac:dyDescent="0.2">
      <c r="A66" s="91">
        <v>72</v>
      </c>
      <c r="B66" s="132" t="s">
        <v>77</v>
      </c>
      <c r="C66" s="155">
        <v>3277600</v>
      </c>
      <c r="D66" s="155">
        <v>1948100</v>
      </c>
      <c r="E66" s="155">
        <v>1169300</v>
      </c>
      <c r="F66" s="155">
        <v>0</v>
      </c>
      <c r="G66" s="97"/>
      <c r="H66" s="97"/>
      <c r="I66" s="164">
        <v>0</v>
      </c>
      <c r="J66" s="164"/>
      <c r="K66" s="165">
        <v>0</v>
      </c>
      <c r="L66" s="166">
        <v>1.45</v>
      </c>
      <c r="M66" s="118">
        <v>1.45</v>
      </c>
      <c r="N66" s="133">
        <v>2890</v>
      </c>
      <c r="O66" s="133">
        <v>2884</v>
      </c>
      <c r="P66" s="167">
        <v>2298.9449999999997</v>
      </c>
      <c r="Q66" s="133">
        <v>323</v>
      </c>
      <c r="R66" s="168">
        <v>0</v>
      </c>
      <c r="S66" s="169">
        <v>5051.0874800000001</v>
      </c>
      <c r="T66" s="135">
        <v>419</v>
      </c>
      <c r="U66" s="97">
        <v>4</v>
      </c>
      <c r="V66" s="139">
        <v>0.92</v>
      </c>
      <c r="W66" s="136">
        <v>117669.25</v>
      </c>
      <c r="X66" s="123">
        <v>141943.25</v>
      </c>
      <c r="Y66" s="137">
        <v>357225.95</v>
      </c>
      <c r="Z66" s="123">
        <v>1822.2118483747943</v>
      </c>
      <c r="AA66" s="123">
        <v>32.083294117647064</v>
      </c>
      <c r="AB66" s="123">
        <v>68.149636678200693</v>
      </c>
      <c r="AC66" s="123">
        <v>108.22467098751892</v>
      </c>
      <c r="AD66" s="123">
        <v>71.696262975778552</v>
      </c>
      <c r="AE66" s="123">
        <v>69.710795847750873</v>
      </c>
      <c r="AF66" s="122">
        <v>2172.0765089816905</v>
      </c>
      <c r="AG66" s="123">
        <v>1802.4083819372338</v>
      </c>
      <c r="AH66" s="123">
        <v>32.446359223300966</v>
      </c>
      <c r="AI66" s="123">
        <v>104.62089112343968</v>
      </c>
      <c r="AJ66" s="123">
        <v>116.77668367817034</v>
      </c>
      <c r="AK66" s="123">
        <v>60.089927184466021</v>
      </c>
      <c r="AL66" s="123">
        <v>34.285072815533979</v>
      </c>
      <c r="AM66" s="122">
        <v>2150.6273159621446</v>
      </c>
      <c r="AN66" s="138">
        <v>1812.310115156014</v>
      </c>
      <c r="AO66" s="139">
        <v>32.264826670474015</v>
      </c>
      <c r="AP66" s="140">
        <v>86.385263900820178</v>
      </c>
      <c r="AQ66" s="140">
        <v>112.50067733284463</v>
      </c>
      <c r="AR66" s="139">
        <v>65.893095080122293</v>
      </c>
      <c r="AS66" s="141">
        <v>51.997934331642426</v>
      </c>
      <c r="AT66" s="122">
        <v>2161.3519124719173</v>
      </c>
      <c r="AU66" s="136">
        <v>3432.7811739527956</v>
      </c>
      <c r="AV66" s="142">
        <v>0.96</v>
      </c>
      <c r="AW66" s="143">
        <v>0</v>
      </c>
      <c r="AX66" s="213">
        <v>3.3009697962211271</v>
      </c>
      <c r="AY66" s="214">
        <v>4.8003693328409161E-2</v>
      </c>
      <c r="AZ66" s="214">
        <v>-7.3800818973715016E-2</v>
      </c>
      <c r="BA66" s="214">
        <v>0.2028654940015088</v>
      </c>
      <c r="BB66" s="203">
        <v>1.1538861902446025</v>
      </c>
      <c r="BC66" s="139">
        <v>249</v>
      </c>
      <c r="BD66" s="204">
        <v>0.9</v>
      </c>
      <c r="BE66" s="139">
        <v>18729.907801024532</v>
      </c>
      <c r="BF66" s="139">
        <v>11000</v>
      </c>
      <c r="BG66" s="205">
        <v>0.65</v>
      </c>
      <c r="BH66" s="205">
        <v>0.65</v>
      </c>
      <c r="BI66" s="204">
        <v>0.2</v>
      </c>
      <c r="BJ66" s="142">
        <v>0.6</v>
      </c>
      <c r="BK66" s="205">
        <v>0.2</v>
      </c>
      <c r="BL66" s="170"/>
    </row>
    <row r="67" spans="1:64" x14ac:dyDescent="0.2">
      <c r="A67" s="91">
        <v>73</v>
      </c>
      <c r="B67" s="132" t="s">
        <v>78</v>
      </c>
      <c r="C67" s="155">
        <v>4727800</v>
      </c>
      <c r="D67" s="155">
        <v>2291400</v>
      </c>
      <c r="E67" s="155">
        <v>2613100</v>
      </c>
      <c r="F67" s="155">
        <v>563300</v>
      </c>
      <c r="G67" s="97"/>
      <c r="H67" s="97"/>
      <c r="I67" s="164">
        <v>0</v>
      </c>
      <c r="J67" s="164"/>
      <c r="K67" s="165">
        <v>0</v>
      </c>
      <c r="L67" s="166">
        <v>1.42</v>
      </c>
      <c r="M67" s="118">
        <v>1.42</v>
      </c>
      <c r="N67" s="133">
        <v>8977</v>
      </c>
      <c r="O67" s="133">
        <v>9016</v>
      </c>
      <c r="P67" s="167">
        <v>4005.3191999999995</v>
      </c>
      <c r="Q67" s="133">
        <v>137</v>
      </c>
      <c r="R67" s="168">
        <v>4971.7836662167001</v>
      </c>
      <c r="S67" s="169">
        <v>4253.9729399999997</v>
      </c>
      <c r="T67" s="135">
        <v>1206</v>
      </c>
      <c r="U67" s="97">
        <v>34</v>
      </c>
      <c r="V67" s="139">
        <v>0.98</v>
      </c>
      <c r="W67" s="136">
        <v>515629.1</v>
      </c>
      <c r="X67" s="123">
        <v>2324326.9499999997</v>
      </c>
      <c r="Y67" s="137">
        <v>1346418.9999999998</v>
      </c>
      <c r="Z67" s="123">
        <v>1978.802261470398</v>
      </c>
      <c r="AA67" s="123">
        <v>99.825556421967264</v>
      </c>
      <c r="AB67" s="123">
        <v>259.96577921354577</v>
      </c>
      <c r="AC67" s="123">
        <v>152.66286053347704</v>
      </c>
      <c r="AD67" s="123">
        <v>85.615177676283835</v>
      </c>
      <c r="AE67" s="123">
        <v>72.94849615684528</v>
      </c>
      <c r="AF67" s="122">
        <v>2649.8201314725175</v>
      </c>
      <c r="AG67" s="123">
        <v>2164.6006310958051</v>
      </c>
      <c r="AH67" s="123">
        <v>124.66642635314993</v>
      </c>
      <c r="AI67" s="123">
        <v>227.10439219165926</v>
      </c>
      <c r="AJ67" s="123">
        <v>158.40105117440342</v>
      </c>
      <c r="AK67" s="123">
        <v>121.33585847382432</v>
      </c>
      <c r="AL67" s="123">
        <v>91.707020851818982</v>
      </c>
      <c r="AM67" s="122">
        <v>2887.8153801406611</v>
      </c>
      <c r="AN67" s="138">
        <v>2071.7014462831016</v>
      </c>
      <c r="AO67" s="139">
        <v>112.2459913875586</v>
      </c>
      <c r="AP67" s="140">
        <v>243.53508570260252</v>
      </c>
      <c r="AQ67" s="140">
        <v>155.53195585394025</v>
      </c>
      <c r="AR67" s="139">
        <v>103.47551807505408</v>
      </c>
      <c r="AS67" s="141">
        <v>82.327758504332138</v>
      </c>
      <c r="AT67" s="122">
        <v>2768.817755806589</v>
      </c>
      <c r="AU67" s="136">
        <v>3432.7811739527956</v>
      </c>
      <c r="AV67" s="142">
        <v>0.96</v>
      </c>
      <c r="AW67" s="143">
        <v>0</v>
      </c>
      <c r="AX67" s="213">
        <v>1.1831524173800743</v>
      </c>
      <c r="AY67" s="214">
        <v>-1.8503413701256462E-2</v>
      </c>
      <c r="AZ67" s="214">
        <v>0.13216847345691915</v>
      </c>
      <c r="BA67" s="214">
        <v>1.1761216949840163E-2</v>
      </c>
      <c r="BB67" s="203">
        <v>1.1538861902446025</v>
      </c>
      <c r="BC67" s="139">
        <v>249</v>
      </c>
      <c r="BD67" s="204">
        <v>0.9</v>
      </c>
      <c r="BE67" s="139">
        <v>18729.907801024532</v>
      </c>
      <c r="BF67" s="139">
        <v>11000</v>
      </c>
      <c r="BG67" s="205">
        <v>0.65</v>
      </c>
      <c r="BH67" s="205">
        <v>0.65</v>
      </c>
      <c r="BI67" s="204">
        <v>0.2</v>
      </c>
      <c r="BJ67" s="142">
        <v>0.6</v>
      </c>
      <c r="BK67" s="205">
        <v>0.2</v>
      </c>
      <c r="BL67" s="170"/>
    </row>
    <row r="68" spans="1:64" x14ac:dyDescent="0.2">
      <c r="A68" s="91">
        <v>76</v>
      </c>
      <c r="B68" s="132" t="s">
        <v>79</v>
      </c>
      <c r="C68" s="155">
        <v>719800</v>
      </c>
      <c r="D68" s="155">
        <v>63200</v>
      </c>
      <c r="E68" s="155">
        <v>1094100</v>
      </c>
      <c r="F68" s="155">
        <v>0</v>
      </c>
      <c r="G68" s="97"/>
      <c r="H68" s="97"/>
      <c r="I68" s="164">
        <v>0</v>
      </c>
      <c r="J68" s="164"/>
      <c r="K68" s="165">
        <v>0</v>
      </c>
      <c r="L68" s="166">
        <v>1.45</v>
      </c>
      <c r="M68" s="118">
        <v>1.45</v>
      </c>
      <c r="N68" s="133">
        <v>3788</v>
      </c>
      <c r="O68" s="133">
        <v>3801</v>
      </c>
      <c r="P68" s="167">
        <v>1008.2344000000001</v>
      </c>
      <c r="Q68" s="133">
        <v>0</v>
      </c>
      <c r="R68" s="168">
        <v>2289.7926600453802</v>
      </c>
      <c r="S68" s="169">
        <v>1099.4985899999999</v>
      </c>
      <c r="T68" s="135">
        <v>519</v>
      </c>
      <c r="U68" s="97">
        <v>4</v>
      </c>
      <c r="V68" s="139">
        <v>0.87</v>
      </c>
      <c r="W68" s="136">
        <v>84867.5</v>
      </c>
      <c r="X68" s="123">
        <v>261700.72999999998</v>
      </c>
      <c r="Y68" s="137">
        <v>249433.5</v>
      </c>
      <c r="Z68" s="123">
        <v>2320.9474695973145</v>
      </c>
      <c r="AA68" s="123">
        <v>64.547309926082363</v>
      </c>
      <c r="AB68" s="123">
        <v>274.9850712777191</v>
      </c>
      <c r="AC68" s="123">
        <v>182.03770705527498</v>
      </c>
      <c r="AD68" s="123">
        <v>65.261180042238649</v>
      </c>
      <c r="AE68" s="123">
        <v>90.12090813093981</v>
      </c>
      <c r="AF68" s="122">
        <v>2997.8996460295698</v>
      </c>
      <c r="AG68" s="123">
        <v>2572.4063756789428</v>
      </c>
      <c r="AH68" s="123">
        <v>74.324072612470403</v>
      </c>
      <c r="AI68" s="123">
        <v>214.24650092081032</v>
      </c>
      <c r="AJ68" s="123">
        <v>187.08478267676693</v>
      </c>
      <c r="AK68" s="123">
        <v>73.10324914496185</v>
      </c>
      <c r="AL68" s="123">
        <v>91.815206524598793</v>
      </c>
      <c r="AM68" s="122">
        <v>3212.9801875585508</v>
      </c>
      <c r="AN68" s="138">
        <v>2446.6769226381284</v>
      </c>
      <c r="AO68" s="139">
        <v>69.43569126927639</v>
      </c>
      <c r="AP68" s="140">
        <v>244.61578609926471</v>
      </c>
      <c r="AQ68" s="140">
        <v>184.56124486602096</v>
      </c>
      <c r="AR68" s="139">
        <v>69.18221459360025</v>
      </c>
      <c r="AS68" s="141">
        <v>90.968057327769301</v>
      </c>
      <c r="AT68" s="122">
        <v>3105.4399167940601</v>
      </c>
      <c r="AU68" s="136">
        <v>3432.7811739527956</v>
      </c>
      <c r="AV68" s="142">
        <v>0.96</v>
      </c>
      <c r="AW68" s="143">
        <v>0</v>
      </c>
      <c r="AX68" s="213">
        <v>0.10897229852516122</v>
      </c>
      <c r="AY68" s="214">
        <v>-2.8943168829968974E-2</v>
      </c>
      <c r="AZ68" s="214">
        <v>2.1059900169620747E-2</v>
      </c>
      <c r="BA68" s="214">
        <v>-1.5503599766423079E-2</v>
      </c>
      <c r="BB68" s="203">
        <v>1.1538861902446025</v>
      </c>
      <c r="BC68" s="139">
        <v>249</v>
      </c>
      <c r="BD68" s="204">
        <v>0.9</v>
      </c>
      <c r="BE68" s="139">
        <v>18729.907801024532</v>
      </c>
      <c r="BF68" s="139">
        <v>11000</v>
      </c>
      <c r="BG68" s="205">
        <v>0.65</v>
      </c>
      <c r="BH68" s="205">
        <v>0.65</v>
      </c>
      <c r="BI68" s="204">
        <v>0.2</v>
      </c>
      <c r="BJ68" s="142">
        <v>0.6</v>
      </c>
      <c r="BK68" s="205">
        <v>0.2</v>
      </c>
      <c r="BL68" s="170"/>
    </row>
    <row r="69" spans="1:64" x14ac:dyDescent="0.2">
      <c r="A69" s="91">
        <v>77</v>
      </c>
      <c r="B69" s="132" t="s">
        <v>80</v>
      </c>
      <c r="C69" s="155">
        <v>2407500</v>
      </c>
      <c r="D69" s="155">
        <v>0</v>
      </c>
      <c r="E69" s="155">
        <v>611200</v>
      </c>
      <c r="F69" s="155">
        <v>0</v>
      </c>
      <c r="G69" s="97"/>
      <c r="H69" s="97"/>
      <c r="I69" s="164">
        <v>0</v>
      </c>
      <c r="J69" s="164"/>
      <c r="K69" s="165">
        <v>0</v>
      </c>
      <c r="L69" s="166">
        <v>1.32</v>
      </c>
      <c r="M69" s="118">
        <v>1.29</v>
      </c>
      <c r="N69" s="133">
        <v>6423</v>
      </c>
      <c r="O69" s="133">
        <v>6450</v>
      </c>
      <c r="P69" s="167">
        <v>1269.3235999999999</v>
      </c>
      <c r="Q69" s="133">
        <v>0</v>
      </c>
      <c r="R69" s="168">
        <v>0</v>
      </c>
      <c r="S69" s="169">
        <v>1407.6019100000001</v>
      </c>
      <c r="T69" s="135">
        <v>768</v>
      </c>
      <c r="U69" s="97">
        <v>21</v>
      </c>
      <c r="V69" s="139">
        <v>0.92</v>
      </c>
      <c r="W69" s="136">
        <v>288995.64999999997</v>
      </c>
      <c r="X69" s="123">
        <v>343340.98000000004</v>
      </c>
      <c r="Y69" s="137">
        <v>859285.20000000007</v>
      </c>
      <c r="Z69" s="123">
        <v>2333.1535957505434</v>
      </c>
      <c r="AA69" s="123">
        <v>75.013120037365709</v>
      </c>
      <c r="AB69" s="123">
        <v>123.42518293632259</v>
      </c>
      <c r="AC69" s="123">
        <v>175.71717790232424</v>
      </c>
      <c r="AD69" s="123">
        <v>70.073470340962174</v>
      </c>
      <c r="AE69" s="123">
        <v>96.612361824692528</v>
      </c>
      <c r="AF69" s="122">
        <v>2873.9949087922105</v>
      </c>
      <c r="AG69" s="123">
        <v>2449.0135192952803</v>
      </c>
      <c r="AH69" s="123">
        <v>70.60538759689922</v>
      </c>
      <c r="AI69" s="123">
        <v>111.99220930232558</v>
      </c>
      <c r="AJ69" s="123">
        <v>138.29377541228214</v>
      </c>
      <c r="AK69" s="123">
        <v>94.911472868217061</v>
      </c>
      <c r="AL69" s="123">
        <v>102.48150387596898</v>
      </c>
      <c r="AM69" s="122">
        <v>2967.2978683509732</v>
      </c>
      <c r="AN69" s="138">
        <v>2391.0835575229121</v>
      </c>
      <c r="AO69" s="139">
        <v>72.809253817132458</v>
      </c>
      <c r="AP69" s="140">
        <v>117.70869611932409</v>
      </c>
      <c r="AQ69" s="140">
        <v>157.00547665730318</v>
      </c>
      <c r="AR69" s="139">
        <v>82.49247160458961</v>
      </c>
      <c r="AS69" s="141">
        <v>99.546932850330762</v>
      </c>
      <c r="AT69" s="122">
        <v>2920.6463885715921</v>
      </c>
      <c r="AU69" s="136">
        <v>3432.7811739527956</v>
      </c>
      <c r="AV69" s="142">
        <v>0.96</v>
      </c>
      <c r="AW69" s="143">
        <v>0</v>
      </c>
      <c r="AX69" s="213">
        <v>-0.30188212099833817</v>
      </c>
      <c r="AY69" s="214">
        <v>-2.8943168829968974E-2</v>
      </c>
      <c r="AZ69" s="214">
        <v>-7.3800818973715016E-2</v>
      </c>
      <c r="BA69" s="214">
        <v>-2.6112183703088335E-2</v>
      </c>
      <c r="BB69" s="203">
        <v>1.1538861902446025</v>
      </c>
      <c r="BC69" s="139">
        <v>249</v>
      </c>
      <c r="BD69" s="204">
        <v>0.9</v>
      </c>
      <c r="BE69" s="139">
        <v>18729.907801024532</v>
      </c>
      <c r="BF69" s="139">
        <v>11000</v>
      </c>
      <c r="BG69" s="205">
        <v>0.65</v>
      </c>
      <c r="BH69" s="205">
        <v>0.65</v>
      </c>
      <c r="BI69" s="204">
        <v>0.2</v>
      </c>
      <c r="BJ69" s="142">
        <v>0.6</v>
      </c>
      <c r="BK69" s="205">
        <v>0.2</v>
      </c>
      <c r="BL69" s="170"/>
    </row>
    <row r="70" spans="1:64" x14ac:dyDescent="0.2">
      <c r="A70" s="91">
        <v>78</v>
      </c>
      <c r="B70" s="132" t="s">
        <v>81</v>
      </c>
      <c r="C70" s="155">
        <v>4729700</v>
      </c>
      <c r="D70" s="155">
        <v>0</v>
      </c>
      <c r="E70" s="155">
        <v>1500300</v>
      </c>
      <c r="F70" s="155">
        <v>0</v>
      </c>
      <c r="G70" s="97"/>
      <c r="H70" s="97"/>
      <c r="I70" s="164">
        <v>0</v>
      </c>
      <c r="J70" s="164"/>
      <c r="K70" s="165">
        <v>0</v>
      </c>
      <c r="L70" s="166">
        <v>1.45</v>
      </c>
      <c r="M70" s="118">
        <v>1.4</v>
      </c>
      <c r="N70" s="133">
        <v>12816</v>
      </c>
      <c r="O70" s="133">
        <v>12849</v>
      </c>
      <c r="P70" s="167">
        <v>2402.973</v>
      </c>
      <c r="Q70" s="133">
        <v>0</v>
      </c>
      <c r="R70" s="168">
        <v>0</v>
      </c>
      <c r="S70" s="169">
        <v>1449.5028</v>
      </c>
      <c r="T70" s="135">
        <v>1537</v>
      </c>
      <c r="U70" s="97">
        <v>42</v>
      </c>
      <c r="V70" s="139">
        <v>0.99</v>
      </c>
      <c r="W70" s="136">
        <v>486679.5</v>
      </c>
      <c r="X70" s="123">
        <v>2371341.4499999997</v>
      </c>
      <c r="Y70" s="137">
        <v>1489289.3499999999</v>
      </c>
      <c r="Z70" s="123">
        <v>2205.4500419564138</v>
      </c>
      <c r="AA70" s="123">
        <v>75.307060705368286</v>
      </c>
      <c r="AB70" s="123">
        <v>248.77365012484395</v>
      </c>
      <c r="AC70" s="123">
        <v>139.70090890539794</v>
      </c>
      <c r="AD70" s="123">
        <v>92.016729088639195</v>
      </c>
      <c r="AE70" s="123">
        <v>106.81994382022471</v>
      </c>
      <c r="AF70" s="122">
        <v>2868.0683346008882</v>
      </c>
      <c r="AG70" s="123">
        <v>2340.9543247744887</v>
      </c>
      <c r="AH70" s="123">
        <v>78.391295042415749</v>
      </c>
      <c r="AI70" s="123">
        <v>233.02430539341583</v>
      </c>
      <c r="AJ70" s="123">
        <v>144.49332655618861</v>
      </c>
      <c r="AK70" s="123">
        <v>95.07492411860845</v>
      </c>
      <c r="AL70" s="123">
        <v>92.846945287571003</v>
      </c>
      <c r="AM70" s="122">
        <v>2984.7851211726884</v>
      </c>
      <c r="AN70" s="138">
        <v>2273.2021833654512</v>
      </c>
      <c r="AO70" s="139">
        <v>76.849177873892017</v>
      </c>
      <c r="AP70" s="140">
        <v>240.89897775912988</v>
      </c>
      <c r="AQ70" s="140">
        <v>142.09711773079329</v>
      </c>
      <c r="AR70" s="139">
        <v>93.545826603623823</v>
      </c>
      <c r="AS70" s="141">
        <v>99.833444553897863</v>
      </c>
      <c r="AT70" s="122">
        <v>2926.4267278867887</v>
      </c>
      <c r="AU70" s="136">
        <v>3432.7811739527956</v>
      </c>
      <c r="AV70" s="142">
        <v>0.96</v>
      </c>
      <c r="AW70" s="143">
        <v>0</v>
      </c>
      <c r="AX70" s="213">
        <v>-0.36056309998706648</v>
      </c>
      <c r="AY70" s="214">
        <v>-2.8943168829968974E-2</v>
      </c>
      <c r="AZ70" s="214">
        <v>-7.3800818973715016E-2</v>
      </c>
      <c r="BA70" s="214">
        <v>-4.18567692815228E-2</v>
      </c>
      <c r="BB70" s="203">
        <v>1.1538861902446025</v>
      </c>
      <c r="BC70" s="139">
        <v>249</v>
      </c>
      <c r="BD70" s="204">
        <v>0.9</v>
      </c>
      <c r="BE70" s="139">
        <v>18729.907801024532</v>
      </c>
      <c r="BF70" s="139">
        <v>11000</v>
      </c>
      <c r="BG70" s="205">
        <v>0.65</v>
      </c>
      <c r="BH70" s="205">
        <v>0.65</v>
      </c>
      <c r="BI70" s="204">
        <v>0.2</v>
      </c>
      <c r="BJ70" s="142">
        <v>0.6</v>
      </c>
      <c r="BK70" s="205">
        <v>0.2</v>
      </c>
      <c r="BL70" s="170"/>
    </row>
    <row r="71" spans="1:64" x14ac:dyDescent="0.2">
      <c r="A71" s="91">
        <v>79</v>
      </c>
      <c r="B71" s="132" t="s">
        <v>82</v>
      </c>
      <c r="C71" s="155">
        <v>6059400</v>
      </c>
      <c r="D71" s="155">
        <v>0</v>
      </c>
      <c r="E71" s="155">
        <v>1213400</v>
      </c>
      <c r="F71" s="155">
        <v>288700</v>
      </c>
      <c r="G71" s="97"/>
      <c r="H71" s="97"/>
      <c r="I71" s="164">
        <v>0</v>
      </c>
      <c r="J71" s="164"/>
      <c r="K71" s="165">
        <v>0</v>
      </c>
      <c r="L71" s="166">
        <v>1.49</v>
      </c>
      <c r="M71" s="118">
        <v>1.45</v>
      </c>
      <c r="N71" s="133">
        <v>10505</v>
      </c>
      <c r="O71" s="133">
        <v>10551</v>
      </c>
      <c r="P71" s="167">
        <v>1986.8157999999999</v>
      </c>
      <c r="Q71" s="133">
        <v>0</v>
      </c>
      <c r="R71" s="168">
        <v>0</v>
      </c>
      <c r="S71" s="169">
        <v>1146.90094</v>
      </c>
      <c r="T71" s="135">
        <v>1251</v>
      </c>
      <c r="U71" s="97">
        <v>38</v>
      </c>
      <c r="V71" s="139">
        <v>1.03</v>
      </c>
      <c r="W71" s="136">
        <v>464026.24999999994</v>
      </c>
      <c r="X71" s="123">
        <v>2169921.2800000003</v>
      </c>
      <c r="Y71" s="137">
        <v>1647635.35</v>
      </c>
      <c r="Z71" s="123">
        <v>2122.009825528582</v>
      </c>
      <c r="AA71" s="123">
        <v>65.865650642551174</v>
      </c>
      <c r="AB71" s="123">
        <v>206.47364588291288</v>
      </c>
      <c r="AC71" s="123">
        <v>126.77013829335178</v>
      </c>
      <c r="AD71" s="123">
        <v>89.731109947643986</v>
      </c>
      <c r="AE71" s="123">
        <v>85.243979057591616</v>
      </c>
      <c r="AF71" s="122">
        <v>2696.0943493526343</v>
      </c>
      <c r="AG71" s="123">
        <v>2126.519001147396</v>
      </c>
      <c r="AH71" s="123">
        <v>75.338901525921713</v>
      </c>
      <c r="AI71" s="123">
        <v>224.71033077433421</v>
      </c>
      <c r="AJ71" s="123">
        <v>129.7717732585032</v>
      </c>
      <c r="AK71" s="123">
        <v>117.95150222727705</v>
      </c>
      <c r="AL71" s="123">
        <v>66.935001421666186</v>
      </c>
      <c r="AM71" s="122">
        <v>2741.2265103550985</v>
      </c>
      <c r="AN71" s="138">
        <v>2124.264413337989</v>
      </c>
      <c r="AO71" s="139">
        <v>70.602276084236451</v>
      </c>
      <c r="AP71" s="140">
        <v>215.59198832862353</v>
      </c>
      <c r="AQ71" s="140">
        <v>128.27095577592749</v>
      </c>
      <c r="AR71" s="139">
        <v>103.84130608746051</v>
      </c>
      <c r="AS71" s="141">
        <v>76.089490239628901</v>
      </c>
      <c r="AT71" s="122">
        <v>2718.6604298538664</v>
      </c>
      <c r="AU71" s="136">
        <v>3432.7811739527956</v>
      </c>
      <c r="AV71" s="142">
        <v>0.96</v>
      </c>
      <c r="AW71" s="143">
        <v>0</v>
      </c>
      <c r="AX71" s="213">
        <v>-0.3528239189071965</v>
      </c>
      <c r="AY71" s="214">
        <v>-2.8943168829968974E-2</v>
      </c>
      <c r="AZ71" s="214">
        <v>-7.3800818973715016E-2</v>
      </c>
      <c r="BA71" s="214">
        <v>-4.2470568777923712E-2</v>
      </c>
      <c r="BB71" s="203">
        <v>1.1538861902446025</v>
      </c>
      <c r="BC71" s="139">
        <v>249</v>
      </c>
      <c r="BD71" s="204">
        <v>0.9</v>
      </c>
      <c r="BE71" s="139">
        <v>18729.907801024532</v>
      </c>
      <c r="BF71" s="139">
        <v>11000</v>
      </c>
      <c r="BG71" s="205">
        <v>0.65</v>
      </c>
      <c r="BH71" s="205">
        <v>0.65</v>
      </c>
      <c r="BI71" s="204">
        <v>0.2</v>
      </c>
      <c r="BJ71" s="142">
        <v>0.6</v>
      </c>
      <c r="BK71" s="205">
        <v>0.2</v>
      </c>
      <c r="BL71" s="170"/>
    </row>
    <row r="72" spans="1:64" x14ac:dyDescent="0.2">
      <c r="A72" s="91">
        <v>80</v>
      </c>
      <c r="B72" s="132" t="s">
        <v>83</v>
      </c>
      <c r="C72" s="155">
        <v>3170000</v>
      </c>
      <c r="D72" s="155">
        <v>922300</v>
      </c>
      <c r="E72" s="155">
        <v>963500</v>
      </c>
      <c r="F72" s="155">
        <v>0</v>
      </c>
      <c r="G72" s="97"/>
      <c r="H72" s="97"/>
      <c r="I72" s="164">
        <v>61700</v>
      </c>
      <c r="J72" s="164"/>
      <c r="K72" s="165">
        <v>0</v>
      </c>
      <c r="L72" s="166">
        <v>1.62</v>
      </c>
      <c r="M72" s="118">
        <v>1.62</v>
      </c>
      <c r="N72" s="133">
        <v>3986</v>
      </c>
      <c r="O72" s="133">
        <v>4038</v>
      </c>
      <c r="P72" s="167">
        <v>1542.8829999999998</v>
      </c>
      <c r="Q72" s="133">
        <v>2785</v>
      </c>
      <c r="R72" s="168">
        <v>0</v>
      </c>
      <c r="S72" s="169">
        <v>1447.7431899999999</v>
      </c>
      <c r="T72" s="135">
        <v>517</v>
      </c>
      <c r="U72" s="97">
        <v>15</v>
      </c>
      <c r="V72" s="139">
        <v>1.06</v>
      </c>
      <c r="W72" s="136">
        <v>113954.85</v>
      </c>
      <c r="X72" s="123">
        <v>353814.37</v>
      </c>
      <c r="Y72" s="137">
        <v>574547.35</v>
      </c>
      <c r="Z72" s="123">
        <v>1893.8072387871466</v>
      </c>
      <c r="AA72" s="123">
        <v>77.20036126442551</v>
      </c>
      <c r="AB72" s="123">
        <v>211.31283241344707</v>
      </c>
      <c r="AC72" s="123">
        <v>130.30490428338973</v>
      </c>
      <c r="AD72" s="123">
        <v>54.937142498745615</v>
      </c>
      <c r="AE72" s="123">
        <v>65.453600100351238</v>
      </c>
      <c r="AF72" s="122">
        <v>2433.0160793475056</v>
      </c>
      <c r="AG72" s="123">
        <v>1948.5519275586078</v>
      </c>
      <c r="AH72" s="123">
        <v>66.026015354135723</v>
      </c>
      <c r="AI72" s="123">
        <v>301.40952204061415</v>
      </c>
      <c r="AJ72" s="123">
        <v>130.33501348344066</v>
      </c>
      <c r="AK72" s="123">
        <v>57.659757305596834</v>
      </c>
      <c r="AL72" s="123">
        <v>63.375346706290244</v>
      </c>
      <c r="AM72" s="122">
        <v>2567.3575824486857</v>
      </c>
      <c r="AN72" s="138">
        <v>1921.1795831728773</v>
      </c>
      <c r="AO72" s="139">
        <v>71.613188309280616</v>
      </c>
      <c r="AP72" s="140">
        <v>256.36117722703062</v>
      </c>
      <c r="AQ72" s="140">
        <v>130.31995888341521</v>
      </c>
      <c r="AR72" s="139">
        <v>56.298449902171228</v>
      </c>
      <c r="AS72" s="141">
        <v>64.414473403320741</v>
      </c>
      <c r="AT72" s="122">
        <v>2500.1868308980956</v>
      </c>
      <c r="AU72" s="136">
        <v>3432.7811739527956</v>
      </c>
      <c r="AV72" s="142">
        <v>0.96</v>
      </c>
      <c r="AW72" s="143">
        <v>0</v>
      </c>
      <c r="AX72" s="213">
        <v>0.81014154769394064</v>
      </c>
      <c r="AY72" s="214">
        <v>0.44490862921581259</v>
      </c>
      <c r="AZ72" s="214">
        <v>-7.3800818973715016E-2</v>
      </c>
      <c r="BA72" s="214">
        <v>-5.1591529479702025E-3</v>
      </c>
      <c r="BB72" s="203">
        <v>1.1538861902446025</v>
      </c>
      <c r="BC72" s="139">
        <v>249</v>
      </c>
      <c r="BD72" s="204">
        <v>0.9</v>
      </c>
      <c r="BE72" s="139">
        <v>18729.907801024532</v>
      </c>
      <c r="BF72" s="139">
        <v>11000</v>
      </c>
      <c r="BG72" s="205">
        <v>0.65</v>
      </c>
      <c r="BH72" s="205">
        <v>0.65</v>
      </c>
      <c r="BI72" s="204">
        <v>0.2</v>
      </c>
      <c r="BJ72" s="142">
        <v>0.6</v>
      </c>
      <c r="BK72" s="205">
        <v>0.2</v>
      </c>
      <c r="BL72" s="170"/>
    </row>
    <row r="73" spans="1:64" x14ac:dyDescent="0.2">
      <c r="A73" s="91">
        <v>81</v>
      </c>
      <c r="B73" s="132" t="s">
        <v>84</v>
      </c>
      <c r="C73" s="155">
        <v>0</v>
      </c>
      <c r="D73" s="155">
        <v>0</v>
      </c>
      <c r="E73" s="155">
        <v>0</v>
      </c>
      <c r="F73" s="155">
        <v>2590700</v>
      </c>
      <c r="G73" s="97"/>
      <c r="H73" s="97"/>
      <c r="I73" s="164">
        <v>0</v>
      </c>
      <c r="J73" s="164"/>
      <c r="K73" s="165">
        <v>0</v>
      </c>
      <c r="L73" s="166">
        <v>1.29</v>
      </c>
      <c r="M73" s="118">
        <v>1.29</v>
      </c>
      <c r="N73" s="133">
        <v>23751</v>
      </c>
      <c r="O73" s="133">
        <v>23768</v>
      </c>
      <c r="P73" s="167">
        <v>3177.0783999999994</v>
      </c>
      <c r="Q73" s="133">
        <v>0</v>
      </c>
      <c r="R73" s="168">
        <v>0</v>
      </c>
      <c r="S73" s="169">
        <v>2081.6391899999999</v>
      </c>
      <c r="T73" s="135">
        <v>2471</v>
      </c>
      <c r="U73" s="97">
        <v>80</v>
      </c>
      <c r="V73" s="139">
        <v>1.05</v>
      </c>
      <c r="W73" s="136">
        <v>1080591.4000000001</v>
      </c>
      <c r="X73" s="123">
        <v>7697580.4299999997</v>
      </c>
      <c r="Y73" s="137">
        <v>4100684.1</v>
      </c>
      <c r="Z73" s="123">
        <v>2868.0238831901515</v>
      </c>
      <c r="AA73" s="123">
        <v>80.750101048376919</v>
      </c>
      <c r="AB73" s="123">
        <v>404.03276914656226</v>
      </c>
      <c r="AC73" s="123">
        <v>163.92549011715585</v>
      </c>
      <c r="AD73" s="123">
        <v>122.32128752473579</v>
      </c>
      <c r="AE73" s="123">
        <v>94.035021683297543</v>
      </c>
      <c r="AF73" s="122">
        <v>3733.0885527102801</v>
      </c>
      <c r="AG73" s="123">
        <v>2889.4826239684535</v>
      </c>
      <c r="AH73" s="123">
        <v>74.410812857623711</v>
      </c>
      <c r="AI73" s="123">
        <v>470.77033406260512</v>
      </c>
      <c r="AJ73" s="123">
        <v>166.95866866674902</v>
      </c>
      <c r="AK73" s="123">
        <v>98.500214574217438</v>
      </c>
      <c r="AL73" s="123">
        <v>139.58833726018176</v>
      </c>
      <c r="AM73" s="122">
        <v>3839.7109913898298</v>
      </c>
      <c r="AN73" s="138">
        <v>2878.7532535793025</v>
      </c>
      <c r="AO73" s="139">
        <v>77.580456953000322</v>
      </c>
      <c r="AP73" s="140">
        <v>437.40155160458369</v>
      </c>
      <c r="AQ73" s="140">
        <v>165.44207939195243</v>
      </c>
      <c r="AR73" s="139">
        <v>110.41075104947662</v>
      </c>
      <c r="AS73" s="141">
        <v>116.81167947173965</v>
      </c>
      <c r="AT73" s="122">
        <v>3786.3997720500556</v>
      </c>
      <c r="AU73" s="136">
        <v>3432.7811739527956</v>
      </c>
      <c r="AV73" s="142">
        <v>0.96</v>
      </c>
      <c r="AW73" s="143">
        <v>-0.51506137469589097</v>
      </c>
      <c r="AX73" s="213">
        <v>-0.68070906515355667</v>
      </c>
      <c r="AY73" s="214">
        <v>-2.8943168829968974E-2</v>
      </c>
      <c r="AZ73" s="214">
        <v>-7.3800818973715016E-2</v>
      </c>
      <c r="BA73" s="214">
        <v>-4.5624658962595627E-2</v>
      </c>
      <c r="BB73" s="203">
        <v>1.1538861902446025</v>
      </c>
      <c r="BC73" s="139">
        <v>249</v>
      </c>
      <c r="BD73" s="204">
        <v>0.9</v>
      </c>
      <c r="BE73" s="139">
        <v>18729.907801024532</v>
      </c>
      <c r="BF73" s="139">
        <v>11000</v>
      </c>
      <c r="BG73" s="205">
        <v>0.65</v>
      </c>
      <c r="BH73" s="205">
        <v>0.65</v>
      </c>
      <c r="BI73" s="204">
        <v>0.2</v>
      </c>
      <c r="BJ73" s="142">
        <v>0.6</v>
      </c>
      <c r="BK73" s="205">
        <v>0.2</v>
      </c>
      <c r="BL73" s="170"/>
    </row>
    <row r="74" spans="1:64" x14ac:dyDescent="0.2">
      <c r="A74" s="91">
        <v>83</v>
      </c>
      <c r="B74" s="132" t="s">
        <v>85</v>
      </c>
      <c r="C74" s="155">
        <v>0</v>
      </c>
      <c r="D74" s="155">
        <v>0</v>
      </c>
      <c r="E74" s="155">
        <v>0</v>
      </c>
      <c r="F74" s="155">
        <v>0</v>
      </c>
      <c r="G74" s="97"/>
      <c r="H74" s="97"/>
      <c r="I74" s="164">
        <v>0</v>
      </c>
      <c r="J74" s="164"/>
      <c r="K74" s="165">
        <v>0</v>
      </c>
      <c r="L74" s="166">
        <v>0.95</v>
      </c>
      <c r="M74" s="118">
        <v>0.95</v>
      </c>
      <c r="N74" s="133">
        <v>4816</v>
      </c>
      <c r="O74" s="133">
        <v>4790</v>
      </c>
      <c r="P74" s="167">
        <v>873.02</v>
      </c>
      <c r="Q74" s="133">
        <v>0</v>
      </c>
      <c r="R74" s="168">
        <v>0</v>
      </c>
      <c r="S74" s="169">
        <v>896.7339300000001</v>
      </c>
      <c r="T74" s="135">
        <v>539</v>
      </c>
      <c r="U74" s="97">
        <v>12</v>
      </c>
      <c r="V74" s="139">
        <v>0.86</v>
      </c>
      <c r="W74" s="136">
        <v>11230.65</v>
      </c>
      <c r="X74" s="123">
        <v>184520.8</v>
      </c>
      <c r="Y74" s="137">
        <v>424070.60000000003</v>
      </c>
      <c r="Z74" s="123">
        <v>3312.5049399460981</v>
      </c>
      <c r="AA74" s="123">
        <v>45.350056063122921</v>
      </c>
      <c r="AB74" s="123">
        <v>311.07915282392025</v>
      </c>
      <c r="AC74" s="123">
        <v>183.02005255319301</v>
      </c>
      <c r="AD74" s="123">
        <v>91.916517857142864</v>
      </c>
      <c r="AE74" s="123">
        <v>86.699958471760795</v>
      </c>
      <c r="AF74" s="122">
        <v>4030.5706777152382</v>
      </c>
      <c r="AG74" s="123">
        <v>3404.6100679852193</v>
      </c>
      <c r="AH74" s="123">
        <v>41.491325678496864</v>
      </c>
      <c r="AI74" s="123">
        <v>249.65575156576202</v>
      </c>
      <c r="AJ74" s="123">
        <v>188.11514389635244</v>
      </c>
      <c r="AK74" s="123">
        <v>121.40497912317328</v>
      </c>
      <c r="AL74" s="123">
        <v>230.99622129436329</v>
      </c>
      <c r="AM74" s="122">
        <v>4236.2734895433668</v>
      </c>
      <c r="AN74" s="138">
        <v>3358.5575039656587</v>
      </c>
      <c r="AO74" s="139">
        <v>43.420690870809892</v>
      </c>
      <c r="AP74" s="140">
        <v>280.36745219484112</v>
      </c>
      <c r="AQ74" s="140">
        <v>185.56759822477272</v>
      </c>
      <c r="AR74" s="139">
        <v>106.66074849015807</v>
      </c>
      <c r="AS74" s="141">
        <v>158.84808988306204</v>
      </c>
      <c r="AT74" s="122">
        <v>4133.4220836293016</v>
      </c>
      <c r="AU74" s="136">
        <v>3432.7811739527956</v>
      </c>
      <c r="AV74" s="142">
        <v>0.96</v>
      </c>
      <c r="AW74" s="143">
        <v>-1</v>
      </c>
      <c r="AX74" s="213">
        <v>-0.3891142034109667</v>
      </c>
      <c r="AY74" s="214">
        <v>-2.8943168829968974E-2</v>
      </c>
      <c r="AZ74" s="214">
        <v>-7.3800818973715016E-2</v>
      </c>
      <c r="BA74" s="214">
        <v>-3.0745439237637874E-2</v>
      </c>
      <c r="BB74" s="203">
        <v>1.1538861902446025</v>
      </c>
      <c r="BC74" s="139">
        <v>249</v>
      </c>
      <c r="BD74" s="204">
        <v>0.9</v>
      </c>
      <c r="BE74" s="139">
        <v>18729.907801024532</v>
      </c>
      <c r="BF74" s="139">
        <v>11000</v>
      </c>
      <c r="BG74" s="205">
        <v>0.65</v>
      </c>
      <c r="BH74" s="205">
        <v>0.65</v>
      </c>
      <c r="BI74" s="204">
        <v>0.2</v>
      </c>
      <c r="BJ74" s="142">
        <v>0.6</v>
      </c>
      <c r="BK74" s="205">
        <v>0.2</v>
      </c>
      <c r="BL74" s="170"/>
    </row>
    <row r="75" spans="1:64" x14ac:dyDescent="0.2">
      <c r="A75" s="91">
        <v>84</v>
      </c>
      <c r="B75" s="132" t="s">
        <v>86</v>
      </c>
      <c r="C75" s="155">
        <v>0</v>
      </c>
      <c r="D75" s="155">
        <v>804200</v>
      </c>
      <c r="E75" s="155">
        <v>217200</v>
      </c>
      <c r="F75" s="155">
        <v>0</v>
      </c>
      <c r="G75" s="97"/>
      <c r="H75" s="97"/>
      <c r="I75" s="164">
        <v>0</v>
      </c>
      <c r="J75" s="164"/>
      <c r="K75" s="165">
        <v>0</v>
      </c>
      <c r="L75" s="166">
        <v>1.1200000000000001</v>
      </c>
      <c r="M75" s="118">
        <v>1.08</v>
      </c>
      <c r="N75" s="133">
        <v>4358</v>
      </c>
      <c r="O75" s="133">
        <v>4321</v>
      </c>
      <c r="P75" s="167">
        <v>1707.2225999999996</v>
      </c>
      <c r="Q75" s="133">
        <v>0</v>
      </c>
      <c r="R75" s="168">
        <v>4110.0561876861402</v>
      </c>
      <c r="S75" s="169">
        <v>1773.1269399999999</v>
      </c>
      <c r="T75" s="135">
        <v>504</v>
      </c>
      <c r="U75" s="97">
        <v>8</v>
      </c>
      <c r="V75" s="139">
        <v>0.87</v>
      </c>
      <c r="W75" s="136">
        <v>51457.35</v>
      </c>
      <c r="X75" s="123">
        <v>210938.41000000003</v>
      </c>
      <c r="Y75" s="137">
        <v>324419.59999999998</v>
      </c>
      <c r="Z75" s="123">
        <v>2524.2836625956265</v>
      </c>
      <c r="AA75" s="123">
        <v>68.234382744378138</v>
      </c>
      <c r="AB75" s="123">
        <v>427.89132629646627</v>
      </c>
      <c r="AC75" s="123">
        <v>167.4645651061808</v>
      </c>
      <c r="AD75" s="123">
        <v>79.403189536484618</v>
      </c>
      <c r="AE75" s="123">
        <v>19.374942634235889</v>
      </c>
      <c r="AF75" s="122">
        <v>3286.6520689133727</v>
      </c>
      <c r="AG75" s="123">
        <v>2535.4968208715959</v>
      </c>
      <c r="AH75" s="123">
        <v>58.060738255033563</v>
      </c>
      <c r="AI75" s="123">
        <v>495.21969451515861</v>
      </c>
      <c r="AJ75" s="123">
        <v>174.99674604642971</v>
      </c>
      <c r="AK75" s="123">
        <v>97.97566535524183</v>
      </c>
      <c r="AL75" s="123">
        <v>80.68929645915297</v>
      </c>
      <c r="AM75" s="122">
        <v>3442.4389615026121</v>
      </c>
      <c r="AN75" s="138">
        <v>2529.8902417336112</v>
      </c>
      <c r="AO75" s="139">
        <v>63.147560499705847</v>
      </c>
      <c r="AP75" s="140">
        <v>461.55551040581247</v>
      </c>
      <c r="AQ75" s="140">
        <v>171.23065557630525</v>
      </c>
      <c r="AR75" s="139">
        <v>88.689427445863231</v>
      </c>
      <c r="AS75" s="141">
        <v>50.032119546694432</v>
      </c>
      <c r="AT75" s="122">
        <v>3364.5455152079926</v>
      </c>
      <c r="AU75" s="136">
        <v>3432.7811739527956</v>
      </c>
      <c r="AV75" s="142">
        <v>0.96</v>
      </c>
      <c r="AW75" s="143">
        <v>0</v>
      </c>
      <c r="AX75" s="213">
        <v>0.8882071431236207</v>
      </c>
      <c r="AY75" s="214">
        <v>-2.8943168829968974E-2</v>
      </c>
      <c r="AZ75" s="214">
        <v>9.6469132750078762E-2</v>
      </c>
      <c r="BA75" s="214">
        <v>2.5802422891656844E-3</v>
      </c>
      <c r="BB75" s="203">
        <v>1.1538861902446025</v>
      </c>
      <c r="BC75" s="139">
        <v>249</v>
      </c>
      <c r="BD75" s="204">
        <v>0.9</v>
      </c>
      <c r="BE75" s="139">
        <v>18729.907801024532</v>
      </c>
      <c r="BF75" s="139">
        <v>11000</v>
      </c>
      <c r="BG75" s="205">
        <v>0.65</v>
      </c>
      <c r="BH75" s="205">
        <v>0.65</v>
      </c>
      <c r="BI75" s="204">
        <v>0.2</v>
      </c>
      <c r="BJ75" s="142">
        <v>0.6</v>
      </c>
      <c r="BK75" s="205">
        <v>0.2</v>
      </c>
      <c r="BL75" s="170"/>
    </row>
    <row r="76" spans="1:64" x14ac:dyDescent="0.2">
      <c r="A76" s="91">
        <v>85</v>
      </c>
      <c r="B76" s="132" t="s">
        <v>87</v>
      </c>
      <c r="C76" s="155">
        <v>1083400</v>
      </c>
      <c r="D76" s="155">
        <v>545900</v>
      </c>
      <c r="E76" s="155">
        <v>459200</v>
      </c>
      <c r="F76" s="155">
        <v>0</v>
      </c>
      <c r="G76" s="97"/>
      <c r="H76" s="97"/>
      <c r="I76" s="164">
        <v>0</v>
      </c>
      <c r="J76" s="164"/>
      <c r="K76" s="165">
        <v>0</v>
      </c>
      <c r="L76" s="166">
        <v>1.49</v>
      </c>
      <c r="M76" s="118">
        <v>1.39</v>
      </c>
      <c r="N76" s="133">
        <v>1530</v>
      </c>
      <c r="O76" s="133">
        <v>1524</v>
      </c>
      <c r="P76" s="167">
        <v>846.54199999999992</v>
      </c>
      <c r="Q76" s="133">
        <v>0</v>
      </c>
      <c r="R76" s="168">
        <v>0</v>
      </c>
      <c r="S76" s="169">
        <v>1583.6607000000001</v>
      </c>
      <c r="T76" s="135">
        <v>208</v>
      </c>
      <c r="U76" s="97">
        <v>7</v>
      </c>
      <c r="V76" s="139">
        <v>0.87</v>
      </c>
      <c r="W76" s="136">
        <v>48318</v>
      </c>
      <c r="X76" s="123">
        <v>247740</v>
      </c>
      <c r="Y76" s="137">
        <v>155220.90000000002</v>
      </c>
      <c r="Z76" s="123">
        <v>2154.9302026620194</v>
      </c>
      <c r="AA76" s="123">
        <v>45.931823529411766</v>
      </c>
      <c r="AB76" s="123">
        <v>62.618169934640527</v>
      </c>
      <c r="AC76" s="123">
        <v>148.09634603304798</v>
      </c>
      <c r="AD76" s="123">
        <v>34.548921568627449</v>
      </c>
      <c r="AE76" s="123">
        <v>42.651895424836603</v>
      </c>
      <c r="AF76" s="122">
        <v>2488.7773591525843</v>
      </c>
      <c r="AG76" s="123">
        <v>2254.6068841055776</v>
      </c>
      <c r="AH76" s="123">
        <v>50.754363517060376</v>
      </c>
      <c r="AI76" s="123">
        <v>74.71437007874016</v>
      </c>
      <c r="AJ76" s="123">
        <v>152.96180425191628</v>
      </c>
      <c r="AK76" s="123">
        <v>52.261811023622045</v>
      </c>
      <c r="AL76" s="123">
        <v>100.6247375328084</v>
      </c>
      <c r="AM76" s="122">
        <v>2685.9239705097252</v>
      </c>
      <c r="AN76" s="138">
        <v>2204.7685433837987</v>
      </c>
      <c r="AO76" s="139">
        <v>48.343093523236071</v>
      </c>
      <c r="AP76" s="140">
        <v>68.66627000669034</v>
      </c>
      <c r="AQ76" s="140">
        <v>150.52907514248213</v>
      </c>
      <c r="AR76" s="139">
        <v>43.405366296124747</v>
      </c>
      <c r="AS76" s="141">
        <v>71.638316478822503</v>
      </c>
      <c r="AT76" s="122">
        <v>2587.3506648311545</v>
      </c>
      <c r="AU76" s="136">
        <v>3432.7811739527956</v>
      </c>
      <c r="AV76" s="142">
        <v>0.96</v>
      </c>
      <c r="AW76" s="143">
        <v>0</v>
      </c>
      <c r="AX76" s="213">
        <v>1.85066751724082</v>
      </c>
      <c r="AY76" s="214">
        <v>-2.8943168829968974E-2</v>
      </c>
      <c r="AZ76" s="214">
        <v>-7.3800818973715016E-2</v>
      </c>
      <c r="BA76" s="214">
        <v>9.6489579402442155E-2</v>
      </c>
      <c r="BB76" s="203">
        <v>1.1538861902446025</v>
      </c>
      <c r="BC76" s="139">
        <v>249</v>
      </c>
      <c r="BD76" s="204">
        <v>0.9</v>
      </c>
      <c r="BE76" s="139">
        <v>18729.907801024532</v>
      </c>
      <c r="BF76" s="139">
        <v>11000</v>
      </c>
      <c r="BG76" s="205">
        <v>0.65</v>
      </c>
      <c r="BH76" s="205">
        <v>0.65</v>
      </c>
      <c r="BI76" s="204">
        <v>0.2</v>
      </c>
      <c r="BJ76" s="142">
        <v>0.6</v>
      </c>
      <c r="BK76" s="205">
        <v>0.2</v>
      </c>
      <c r="BL76" s="170"/>
    </row>
    <row r="77" spans="1:64" x14ac:dyDescent="0.2">
      <c r="A77" s="91">
        <v>86</v>
      </c>
      <c r="B77" s="132" t="s">
        <v>88</v>
      </c>
      <c r="C77" s="155">
        <v>1070500</v>
      </c>
      <c r="D77" s="155">
        <v>605300</v>
      </c>
      <c r="E77" s="155">
        <v>1383800</v>
      </c>
      <c r="F77" s="155">
        <v>0</v>
      </c>
      <c r="G77" s="97"/>
      <c r="H77" s="97"/>
      <c r="I77" s="164">
        <v>0</v>
      </c>
      <c r="J77" s="164"/>
      <c r="K77" s="165">
        <v>0</v>
      </c>
      <c r="L77" s="166">
        <v>1.21</v>
      </c>
      <c r="M77" s="118">
        <v>1.18</v>
      </c>
      <c r="N77" s="133">
        <v>3069</v>
      </c>
      <c r="O77" s="133">
        <v>3117</v>
      </c>
      <c r="P77" s="167">
        <v>1284.9269999999997</v>
      </c>
      <c r="Q77" s="133">
        <v>0</v>
      </c>
      <c r="R77" s="168">
        <v>2217.6282709300999</v>
      </c>
      <c r="S77" s="169">
        <v>1637.1691599999999</v>
      </c>
      <c r="T77" s="135">
        <v>468</v>
      </c>
      <c r="U77" s="97">
        <v>9</v>
      </c>
      <c r="V77" s="139">
        <v>0.84</v>
      </c>
      <c r="W77" s="136">
        <v>49674.25</v>
      </c>
      <c r="X77" s="123">
        <v>226042.2</v>
      </c>
      <c r="Y77" s="137">
        <v>353327.55</v>
      </c>
      <c r="Z77" s="123">
        <v>2406.6013607146942</v>
      </c>
      <c r="AA77" s="123">
        <v>33.650671228413167</v>
      </c>
      <c r="AB77" s="123">
        <v>76.563033561420653</v>
      </c>
      <c r="AC77" s="123">
        <v>144.56445247539781</v>
      </c>
      <c r="AD77" s="123">
        <v>125.65677745193875</v>
      </c>
      <c r="AE77" s="123">
        <v>156.07256435320949</v>
      </c>
      <c r="AF77" s="122">
        <v>2943.1088597850739</v>
      </c>
      <c r="AG77" s="123">
        <v>2527.848157657349</v>
      </c>
      <c r="AH77" s="123">
        <v>24.057186397176771</v>
      </c>
      <c r="AI77" s="123">
        <v>112.06727622714146</v>
      </c>
      <c r="AJ77" s="123">
        <v>151.95510890093058</v>
      </c>
      <c r="AK77" s="123">
        <v>77.086092396535136</v>
      </c>
      <c r="AL77" s="123">
        <v>57.193535450753927</v>
      </c>
      <c r="AM77" s="122">
        <v>2950.2073570298871</v>
      </c>
      <c r="AN77" s="138">
        <v>2467.2247591860214</v>
      </c>
      <c r="AO77" s="139">
        <v>28.853928812794969</v>
      </c>
      <c r="AP77" s="140">
        <v>94.315154894281051</v>
      </c>
      <c r="AQ77" s="140">
        <v>148.2597806881642</v>
      </c>
      <c r="AR77" s="139">
        <v>101.37143492423695</v>
      </c>
      <c r="AS77" s="141">
        <v>106.63304990198171</v>
      </c>
      <c r="AT77" s="122">
        <v>2946.6581084074801</v>
      </c>
      <c r="AU77" s="136">
        <v>3432.7811739527956</v>
      </c>
      <c r="AV77" s="142">
        <v>0.96</v>
      </c>
      <c r="AW77" s="143">
        <v>0</v>
      </c>
      <c r="AX77" s="213">
        <v>0.99102772054931332</v>
      </c>
      <c r="AY77" s="214">
        <v>-2.8943168829968974E-2</v>
      </c>
      <c r="AZ77" s="214">
        <v>1.8070299422154237E-2</v>
      </c>
      <c r="BA77" s="214">
        <v>1.9738461147892353E-2</v>
      </c>
      <c r="BB77" s="203">
        <v>1.1538861902446025</v>
      </c>
      <c r="BC77" s="139">
        <v>249</v>
      </c>
      <c r="BD77" s="204">
        <v>0.9</v>
      </c>
      <c r="BE77" s="139">
        <v>18729.907801024532</v>
      </c>
      <c r="BF77" s="139">
        <v>11000</v>
      </c>
      <c r="BG77" s="205">
        <v>0.65</v>
      </c>
      <c r="BH77" s="205">
        <v>0.65</v>
      </c>
      <c r="BI77" s="204">
        <v>0.2</v>
      </c>
      <c r="BJ77" s="142">
        <v>0.6</v>
      </c>
      <c r="BK77" s="205">
        <v>0.2</v>
      </c>
      <c r="BL77" s="170"/>
    </row>
    <row r="78" spans="1:64" x14ac:dyDescent="0.2">
      <c r="A78" s="91">
        <v>87</v>
      </c>
      <c r="B78" s="132" t="s">
        <v>89</v>
      </c>
      <c r="C78" s="155">
        <v>0</v>
      </c>
      <c r="D78" s="155">
        <v>0</v>
      </c>
      <c r="E78" s="155">
        <v>0</v>
      </c>
      <c r="F78" s="155">
        <v>0</v>
      </c>
      <c r="G78" s="97"/>
      <c r="H78" s="97"/>
      <c r="I78" s="164">
        <v>0</v>
      </c>
      <c r="J78" s="164"/>
      <c r="K78" s="165">
        <v>0</v>
      </c>
      <c r="L78" s="166">
        <v>1.26</v>
      </c>
      <c r="M78" s="118">
        <v>1.21</v>
      </c>
      <c r="N78" s="133">
        <v>18055</v>
      </c>
      <c r="O78" s="133">
        <v>18171</v>
      </c>
      <c r="P78" s="167">
        <v>3069.6965999999998</v>
      </c>
      <c r="Q78" s="133">
        <v>0</v>
      </c>
      <c r="R78" s="168">
        <v>0</v>
      </c>
      <c r="S78" s="169">
        <v>2750.6227699999999</v>
      </c>
      <c r="T78" s="135">
        <v>1881</v>
      </c>
      <c r="U78" s="97">
        <v>47</v>
      </c>
      <c r="V78" s="139">
        <v>0.96</v>
      </c>
      <c r="W78" s="136">
        <v>570543.5</v>
      </c>
      <c r="X78" s="123">
        <v>1726858.46</v>
      </c>
      <c r="Y78" s="137">
        <v>2714184.5</v>
      </c>
      <c r="Z78" s="123">
        <v>2666.4084127031997</v>
      </c>
      <c r="AA78" s="123">
        <v>54.141199667682095</v>
      </c>
      <c r="AB78" s="123">
        <v>327.38685682636384</v>
      </c>
      <c r="AC78" s="123">
        <v>162.99751540622094</v>
      </c>
      <c r="AD78" s="123">
        <v>82.564793685959572</v>
      </c>
      <c r="AE78" s="123">
        <v>107.86692328994738</v>
      </c>
      <c r="AF78" s="122">
        <v>3401.3657015793733</v>
      </c>
      <c r="AG78" s="123">
        <v>2599.623262799952</v>
      </c>
      <c r="AH78" s="123">
        <v>61.895803753233167</v>
      </c>
      <c r="AI78" s="123">
        <v>365.16862858400748</v>
      </c>
      <c r="AJ78" s="123">
        <v>170.04942951805035</v>
      </c>
      <c r="AK78" s="123">
        <v>102.53349292829233</v>
      </c>
      <c r="AL78" s="123">
        <v>74.176666116339234</v>
      </c>
      <c r="AM78" s="122">
        <v>3373.4472836998743</v>
      </c>
      <c r="AN78" s="138">
        <v>2633.0158377515759</v>
      </c>
      <c r="AO78" s="139">
        <v>58.018501710457627</v>
      </c>
      <c r="AP78" s="140">
        <v>346.27774270518569</v>
      </c>
      <c r="AQ78" s="140">
        <v>166.52347246213566</v>
      </c>
      <c r="AR78" s="139">
        <v>92.549143307125945</v>
      </c>
      <c r="AS78" s="141">
        <v>91.021794703143314</v>
      </c>
      <c r="AT78" s="122">
        <v>3387.406492639624</v>
      </c>
      <c r="AU78" s="136">
        <v>3432.7811739527956</v>
      </c>
      <c r="AV78" s="142">
        <v>0.96</v>
      </c>
      <c r="AW78" s="143">
        <v>0</v>
      </c>
      <c r="AX78" s="213">
        <v>-0.4690820492267111</v>
      </c>
      <c r="AY78" s="214">
        <v>-2.8943168829968974E-2</v>
      </c>
      <c r="AZ78" s="214">
        <v>-7.3800818973715016E-2</v>
      </c>
      <c r="BA78" s="214">
        <v>-3.6097356708560228E-2</v>
      </c>
      <c r="BB78" s="203">
        <v>1.1538861902446025</v>
      </c>
      <c r="BC78" s="139">
        <v>249</v>
      </c>
      <c r="BD78" s="204">
        <v>0.9</v>
      </c>
      <c r="BE78" s="139">
        <v>18729.907801024532</v>
      </c>
      <c r="BF78" s="139">
        <v>11000</v>
      </c>
      <c r="BG78" s="205">
        <v>0.65</v>
      </c>
      <c r="BH78" s="205">
        <v>0.65</v>
      </c>
      <c r="BI78" s="204">
        <v>0.2</v>
      </c>
      <c r="BJ78" s="142">
        <v>0.6</v>
      </c>
      <c r="BK78" s="205">
        <v>0.2</v>
      </c>
      <c r="BL78" s="170"/>
    </row>
    <row r="79" spans="1:64" x14ac:dyDescent="0.2">
      <c r="A79" s="91">
        <v>88</v>
      </c>
      <c r="B79" s="132" t="s">
        <v>90</v>
      </c>
      <c r="C79" s="155">
        <v>0</v>
      </c>
      <c r="D79" s="155">
        <v>158500</v>
      </c>
      <c r="E79" s="155">
        <v>1159500</v>
      </c>
      <c r="F79" s="155">
        <v>0</v>
      </c>
      <c r="G79" s="97"/>
      <c r="H79" s="97"/>
      <c r="I79" s="164">
        <v>0</v>
      </c>
      <c r="J79" s="164"/>
      <c r="K79" s="165">
        <v>0</v>
      </c>
      <c r="L79" s="166">
        <v>1.33</v>
      </c>
      <c r="M79" s="118">
        <v>1.28</v>
      </c>
      <c r="N79" s="133">
        <v>1909</v>
      </c>
      <c r="O79" s="133">
        <v>1951</v>
      </c>
      <c r="P79" s="167">
        <v>654.87300000000005</v>
      </c>
      <c r="Q79" s="133">
        <v>0</v>
      </c>
      <c r="R79" s="168">
        <v>0</v>
      </c>
      <c r="S79" s="169">
        <v>630.62275</v>
      </c>
      <c r="T79" s="135">
        <v>316</v>
      </c>
      <c r="U79" s="97">
        <v>3</v>
      </c>
      <c r="V79" s="139">
        <v>0.88</v>
      </c>
      <c r="W79" s="136">
        <v>7415.5</v>
      </c>
      <c r="X79" s="123">
        <v>181749.4</v>
      </c>
      <c r="Y79" s="137">
        <v>150960.75</v>
      </c>
      <c r="Z79" s="123">
        <v>2667.321225995955</v>
      </c>
      <c r="AA79" s="123">
        <v>57.740691461498159</v>
      </c>
      <c r="AB79" s="123">
        <v>137.65615505500261</v>
      </c>
      <c r="AC79" s="123">
        <v>158.89660084823663</v>
      </c>
      <c r="AD79" s="123">
        <v>158.87794656888423</v>
      </c>
      <c r="AE79" s="123">
        <v>94.033865898376106</v>
      </c>
      <c r="AF79" s="122">
        <v>3274.5264858279529</v>
      </c>
      <c r="AG79" s="123">
        <v>2913.4677194861943</v>
      </c>
      <c r="AH79" s="123">
        <v>7.7842644797539711</v>
      </c>
      <c r="AI79" s="123">
        <v>201.12701178882622</v>
      </c>
      <c r="AJ79" s="123">
        <v>163.68682356392691</v>
      </c>
      <c r="AK79" s="123">
        <v>175.98846745258842</v>
      </c>
      <c r="AL79" s="123">
        <v>99.041184008200929</v>
      </c>
      <c r="AM79" s="122">
        <v>3561.0954707794904</v>
      </c>
      <c r="AN79" s="138">
        <v>2790.3944727410744</v>
      </c>
      <c r="AO79" s="139">
        <v>32.762477970626065</v>
      </c>
      <c r="AP79" s="140">
        <v>169.39158342191442</v>
      </c>
      <c r="AQ79" s="140">
        <v>161.29171220608177</v>
      </c>
      <c r="AR79" s="139">
        <v>167.43320701073634</v>
      </c>
      <c r="AS79" s="141">
        <v>96.537524953288511</v>
      </c>
      <c r="AT79" s="122">
        <v>3417.8109783037212</v>
      </c>
      <c r="AU79" s="136">
        <v>3432.7811739527956</v>
      </c>
      <c r="AV79" s="142">
        <v>0.96</v>
      </c>
      <c r="AW79" s="143">
        <v>0</v>
      </c>
      <c r="AX79" s="213">
        <v>0.53149601102966804</v>
      </c>
      <c r="AY79" s="214">
        <v>-2.8943168829968974E-2</v>
      </c>
      <c r="AZ79" s="214">
        <v>-7.3800818973715016E-2</v>
      </c>
      <c r="BA79" s="214">
        <v>-1.0431016021979633E-2</v>
      </c>
      <c r="BB79" s="203">
        <v>1.1538861902446025</v>
      </c>
      <c r="BC79" s="139">
        <v>249</v>
      </c>
      <c r="BD79" s="204">
        <v>0.9</v>
      </c>
      <c r="BE79" s="139">
        <v>18729.907801024532</v>
      </c>
      <c r="BF79" s="139">
        <v>11000</v>
      </c>
      <c r="BG79" s="205">
        <v>0.65</v>
      </c>
      <c r="BH79" s="205">
        <v>0.65</v>
      </c>
      <c r="BI79" s="204">
        <v>0.2</v>
      </c>
      <c r="BJ79" s="142">
        <v>0.6</v>
      </c>
      <c r="BK79" s="205">
        <v>0.2</v>
      </c>
      <c r="BL79" s="170"/>
    </row>
    <row r="80" spans="1:64" x14ac:dyDescent="0.2">
      <c r="A80" s="91">
        <v>89</v>
      </c>
      <c r="B80" s="132" t="s">
        <v>91</v>
      </c>
      <c r="C80" s="155">
        <v>1485100</v>
      </c>
      <c r="D80" s="155">
        <v>1862000</v>
      </c>
      <c r="E80" s="155">
        <v>1721900</v>
      </c>
      <c r="F80" s="155">
        <v>0</v>
      </c>
      <c r="G80" s="97"/>
      <c r="H80" s="97"/>
      <c r="I80" s="164">
        <v>0</v>
      </c>
      <c r="J80" s="164"/>
      <c r="K80" s="165">
        <v>0</v>
      </c>
      <c r="L80" s="166">
        <v>1.35</v>
      </c>
      <c r="M80" s="118">
        <v>1.35</v>
      </c>
      <c r="N80" s="133">
        <v>3509</v>
      </c>
      <c r="O80" s="133">
        <v>3498</v>
      </c>
      <c r="P80" s="167">
        <v>2375.8144000000002</v>
      </c>
      <c r="Q80" s="133">
        <v>112</v>
      </c>
      <c r="R80" s="168">
        <v>3701.6419340488801</v>
      </c>
      <c r="S80" s="169">
        <v>3134.3092099999999</v>
      </c>
      <c r="T80" s="135">
        <v>537</v>
      </c>
      <c r="U80" s="97">
        <v>10</v>
      </c>
      <c r="V80" s="139">
        <v>0.87</v>
      </c>
      <c r="W80" s="136">
        <v>35139.550000000003</v>
      </c>
      <c r="X80" s="123">
        <v>328329.75999999995</v>
      </c>
      <c r="Y80" s="137">
        <v>253597.05000000002</v>
      </c>
      <c r="Z80" s="123">
        <v>2343.0808303101753</v>
      </c>
      <c r="AA80" s="123">
        <v>55.000019948703333</v>
      </c>
      <c r="AB80" s="123">
        <v>127.35961812482189</v>
      </c>
      <c r="AC80" s="123">
        <v>146.50995578550837</v>
      </c>
      <c r="AD80" s="123">
        <v>26.302593331433457</v>
      </c>
      <c r="AE80" s="123">
        <v>30.696124251923624</v>
      </c>
      <c r="AF80" s="122">
        <v>2728.949141752566</v>
      </c>
      <c r="AG80" s="123">
        <v>2519.3980873287205</v>
      </c>
      <c r="AH80" s="123">
        <v>49.138664951400798</v>
      </c>
      <c r="AI80" s="123">
        <v>113.48652086906803</v>
      </c>
      <c r="AJ80" s="123">
        <v>152.46449686889105</v>
      </c>
      <c r="AK80" s="123">
        <v>67.813164665523161</v>
      </c>
      <c r="AL80" s="123">
        <v>113.22742995997713</v>
      </c>
      <c r="AM80" s="122">
        <v>3015.528364643581</v>
      </c>
      <c r="AN80" s="138">
        <v>2431.2394588194479</v>
      </c>
      <c r="AO80" s="139">
        <v>52.069342450052062</v>
      </c>
      <c r="AP80" s="140">
        <v>120.42306949694496</v>
      </c>
      <c r="AQ80" s="140">
        <v>149.48722632719972</v>
      </c>
      <c r="AR80" s="139">
        <v>47.057878998478309</v>
      </c>
      <c r="AS80" s="141">
        <v>71.961777105950375</v>
      </c>
      <c r="AT80" s="122">
        <v>2872.238753198073</v>
      </c>
      <c r="AU80" s="136">
        <v>3432.7811739527956</v>
      </c>
      <c r="AV80" s="142">
        <v>0.96</v>
      </c>
      <c r="AW80" s="143">
        <v>0</v>
      </c>
      <c r="AX80" s="213">
        <v>2.5931415821635522</v>
      </c>
      <c r="AY80" s="214">
        <v>-6.9452363076666192E-3</v>
      </c>
      <c r="AZ80" s="214">
        <v>7.9549491734349678E-2</v>
      </c>
      <c r="BA80" s="214">
        <v>7.5115149457075717E-2</v>
      </c>
      <c r="BB80" s="203">
        <v>1.1538861902446025</v>
      </c>
      <c r="BC80" s="139">
        <v>249</v>
      </c>
      <c r="BD80" s="204">
        <v>0.9</v>
      </c>
      <c r="BE80" s="139">
        <v>18729.907801024532</v>
      </c>
      <c r="BF80" s="139">
        <v>11000</v>
      </c>
      <c r="BG80" s="205">
        <v>0.65</v>
      </c>
      <c r="BH80" s="205">
        <v>0.65</v>
      </c>
      <c r="BI80" s="204">
        <v>0.2</v>
      </c>
      <c r="BJ80" s="142">
        <v>0.6</v>
      </c>
      <c r="BK80" s="205">
        <v>0.2</v>
      </c>
      <c r="BL80" s="170"/>
    </row>
    <row r="81" spans="1:64" x14ac:dyDescent="0.2">
      <c r="A81" s="91">
        <v>90</v>
      </c>
      <c r="B81" s="132" t="s">
        <v>92</v>
      </c>
      <c r="C81" s="155">
        <v>0</v>
      </c>
      <c r="D81" s="155">
        <v>0</v>
      </c>
      <c r="E81" s="155">
        <v>10000</v>
      </c>
      <c r="F81" s="155">
        <v>0</v>
      </c>
      <c r="G81" s="97"/>
      <c r="H81" s="97"/>
      <c r="I81" s="171">
        <v>0</v>
      </c>
      <c r="J81" s="171"/>
      <c r="K81" s="172">
        <v>0</v>
      </c>
      <c r="L81" s="166">
        <v>1.1499999999999999</v>
      </c>
      <c r="M81" s="118">
        <v>1.1499999999999999</v>
      </c>
      <c r="N81" s="133">
        <v>8437</v>
      </c>
      <c r="O81" s="133">
        <v>8368</v>
      </c>
      <c r="P81" s="167">
        <v>1611.0014000000001</v>
      </c>
      <c r="Q81" s="144">
        <v>23</v>
      </c>
      <c r="R81" s="173">
        <v>2430.6431463168401</v>
      </c>
      <c r="S81" s="174">
        <v>1263.28487</v>
      </c>
      <c r="T81" s="135">
        <v>935</v>
      </c>
      <c r="U81" s="97">
        <v>23</v>
      </c>
      <c r="V81" s="139">
        <v>0.92</v>
      </c>
      <c r="W81" s="136">
        <v>101869.45</v>
      </c>
      <c r="X81" s="123">
        <v>1120580.94</v>
      </c>
      <c r="Y81" s="137">
        <v>874263.79999999993</v>
      </c>
      <c r="Z81" s="123">
        <v>3059.6799483150389</v>
      </c>
      <c r="AA81" s="123">
        <v>39.572298210264314</v>
      </c>
      <c r="AB81" s="123">
        <v>121.38815337205166</v>
      </c>
      <c r="AC81" s="123">
        <v>159.72518549056562</v>
      </c>
      <c r="AD81" s="123">
        <v>63.692076567500301</v>
      </c>
      <c r="AE81" s="123">
        <v>299.72118051440083</v>
      </c>
      <c r="AF81" s="122">
        <v>3743.7788424698219</v>
      </c>
      <c r="AG81" s="123">
        <v>3401.6425607487595</v>
      </c>
      <c r="AH81" s="123">
        <v>35.072173757170169</v>
      </c>
      <c r="AI81" s="123">
        <v>145.20815009560229</v>
      </c>
      <c r="AJ81" s="123">
        <v>172.0271917521145</v>
      </c>
      <c r="AK81" s="123">
        <v>99.166646749521988</v>
      </c>
      <c r="AL81" s="123">
        <v>76.911191443594646</v>
      </c>
      <c r="AM81" s="122">
        <v>3930.0279145467634</v>
      </c>
      <c r="AN81" s="138">
        <v>3230.6612545318994</v>
      </c>
      <c r="AO81" s="139">
        <v>37.322235983717242</v>
      </c>
      <c r="AP81" s="140">
        <v>133.29815173382698</v>
      </c>
      <c r="AQ81" s="140">
        <v>165.87618862134008</v>
      </c>
      <c r="AR81" s="139">
        <v>81.429361658511141</v>
      </c>
      <c r="AS81" s="141">
        <v>188.31618597899774</v>
      </c>
      <c r="AT81" s="122">
        <v>3836.9033785082929</v>
      </c>
      <c r="AU81" s="136">
        <v>3432.7811739527956</v>
      </c>
      <c r="AV81" s="142">
        <v>0.96</v>
      </c>
      <c r="AW81" s="143">
        <v>-0.58862214641278277</v>
      </c>
      <c r="AX81" s="213">
        <v>-0.32753817467817198</v>
      </c>
      <c r="AY81" s="215">
        <v>-2.7054787002141336E-2</v>
      </c>
      <c r="AZ81" s="215">
        <v>2.6895004217484378E-2</v>
      </c>
      <c r="BA81" s="215">
        <v>-3.6158313735411611E-2</v>
      </c>
      <c r="BB81" s="203">
        <v>1.1538861902446025</v>
      </c>
      <c r="BC81" s="139">
        <v>249</v>
      </c>
      <c r="BD81" s="204">
        <v>0.9</v>
      </c>
      <c r="BE81" s="139">
        <v>18729.907801024532</v>
      </c>
      <c r="BF81" s="139">
        <v>11000</v>
      </c>
      <c r="BG81" s="205">
        <v>0.65</v>
      </c>
      <c r="BH81" s="205">
        <v>0.65</v>
      </c>
      <c r="BI81" s="204">
        <v>0.2</v>
      </c>
      <c r="BJ81" s="206">
        <v>0.6</v>
      </c>
      <c r="BK81" s="207">
        <v>0.2</v>
      </c>
      <c r="BL81" s="170"/>
    </row>
    <row r="82" spans="1:64" s="210" customFormat="1" ht="24" customHeight="1" x14ac:dyDescent="0.2">
      <c r="A82" s="145"/>
      <c r="B82" s="146" t="s">
        <v>93</v>
      </c>
      <c r="C82" s="175">
        <v>118170600</v>
      </c>
      <c r="D82" s="176">
        <v>39102100</v>
      </c>
      <c r="E82" s="176">
        <v>33353900</v>
      </c>
      <c r="F82" s="176">
        <v>20760700</v>
      </c>
      <c r="G82" s="176">
        <v>10177000</v>
      </c>
      <c r="H82" s="176">
        <v>6106200</v>
      </c>
      <c r="I82" s="176">
        <v>61700</v>
      </c>
      <c r="J82" s="176"/>
      <c r="K82" s="176">
        <v>0</v>
      </c>
      <c r="L82" s="145"/>
      <c r="M82" s="147"/>
      <c r="N82" s="177">
        <v>502552</v>
      </c>
      <c r="O82" s="177">
        <v>504686</v>
      </c>
      <c r="P82" s="178">
        <v>124706.38719999998</v>
      </c>
      <c r="Q82" s="177">
        <v>21261</v>
      </c>
      <c r="R82" s="179">
        <v>86446.53209275777</v>
      </c>
      <c r="S82" s="179">
        <v>198379.10843999992</v>
      </c>
      <c r="T82" s="180">
        <v>55635</v>
      </c>
      <c r="U82" s="177">
        <v>1317</v>
      </c>
      <c r="V82" s="95">
        <v>1</v>
      </c>
      <c r="W82" s="178">
        <v>15922131.52</v>
      </c>
      <c r="X82" s="179">
        <v>97004467.460000038</v>
      </c>
      <c r="Y82" s="181">
        <v>68531353.350000024</v>
      </c>
      <c r="Z82" s="178">
        <v>2554.0767332836544</v>
      </c>
      <c r="AA82" s="179">
        <v>134.93915491332245</v>
      </c>
      <c r="AB82" s="179">
        <v>315.01974920008297</v>
      </c>
      <c r="AC82" s="179">
        <v>164.87743457393466</v>
      </c>
      <c r="AD82" s="179">
        <v>95.562688478008269</v>
      </c>
      <c r="AE82" s="181">
        <v>103.88143425953932</v>
      </c>
      <c r="AF82" s="182">
        <v>3368.357194708542</v>
      </c>
      <c r="AG82" s="178">
        <v>2634.0633675322988</v>
      </c>
      <c r="AH82" s="179">
        <v>133.37808395715351</v>
      </c>
      <c r="AI82" s="179">
        <v>340.53922270481024</v>
      </c>
      <c r="AJ82" s="179">
        <v>169.56357230040064</v>
      </c>
      <c r="AK82" s="179">
        <v>106.43883505783798</v>
      </c>
      <c r="AL82" s="181">
        <v>113.22207164454728</v>
      </c>
      <c r="AM82" s="182">
        <v>3497.2051531970483</v>
      </c>
      <c r="AN82" s="178">
        <v>15474.79263634075</v>
      </c>
      <c r="AO82" s="179">
        <v>134.15861943523799</v>
      </c>
      <c r="AP82" s="179">
        <v>327.77948595244663</v>
      </c>
      <c r="AQ82" s="179">
        <v>167.22050343716765</v>
      </c>
      <c r="AR82" s="179">
        <v>101.00076176792312</v>
      </c>
      <c r="AS82" s="181">
        <v>108.5517529520433</v>
      </c>
      <c r="AT82" s="182">
        <v>16313.503759885571</v>
      </c>
      <c r="AU82" s="149"/>
      <c r="AV82" s="149"/>
      <c r="AW82" s="150"/>
      <c r="AX82" s="148"/>
      <c r="AY82" s="148"/>
      <c r="AZ82" s="148"/>
      <c r="BA82" s="148"/>
      <c r="BB82" s="208"/>
      <c r="BC82" s="208"/>
      <c r="BD82" s="209"/>
      <c r="BE82" s="148"/>
      <c r="BF82" s="148"/>
      <c r="BG82" s="148"/>
      <c r="BH82" s="148"/>
      <c r="BI82" s="150"/>
      <c r="BJ82" s="179"/>
      <c r="BK82" s="179"/>
      <c r="BL82" s="183"/>
    </row>
    <row r="83" spans="1:64" hidden="1" x14ac:dyDescent="0.2"/>
    <row r="84" spans="1:64" hidden="1" x14ac:dyDescent="0.2">
      <c r="B84" s="185"/>
    </row>
    <row r="86" spans="1:64" hidden="1" x14ac:dyDescent="0.2"/>
  </sheetData>
  <sheetProtection algorithmName="SHA-512" hashValue="x2zVn6zoDL1vHElwDq2NWvvse638yGi2ar8zub/0TY8KmbXPVDsqoctHCd90REuqtNvqs+2W0ZaYtHTLLoJEDA==" saltValue="vcVEyAl94QNs3w1pUj9PaQ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FAG2019</vt:lpstr>
      <vt:lpstr>Basis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Schaible</dc:creator>
  <cp:lastModifiedBy>Schaible, Bruno</cp:lastModifiedBy>
  <cp:lastPrinted>2014-02-27T06:06:51Z</cp:lastPrinted>
  <dcterms:created xsi:type="dcterms:W3CDTF">2014-01-09T08:02:10Z</dcterms:created>
  <dcterms:modified xsi:type="dcterms:W3CDTF">2020-06-26T08:00:17Z</dcterms:modified>
</cp:coreProperties>
</file>