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V:\Gruppen\5 Finanzausgleich\54 Vollzug\54-04_FAG 2017\Alle Stufen\"/>
    </mc:Choice>
  </mc:AlternateContent>
  <bookViews>
    <workbookView xWindow="0" yWindow="0" windowWidth="28800" windowHeight="12630"/>
  </bookViews>
  <sheets>
    <sheet name="FAG2017" sheetId="2" r:id="rId1"/>
    <sheet name="Basis" sheetId="1" r:id="rId2"/>
  </sheets>
  <calcPr calcId="152511"/>
</workbook>
</file>

<file path=xl/calcChain.xml><?xml version="1.0" encoding="utf-8"?>
<calcChain xmlns="http://schemas.openxmlformats.org/spreadsheetml/2006/main">
  <c r="B130" i="2" l="1"/>
  <c r="B126" i="2"/>
  <c r="B117" i="2"/>
  <c r="B111" i="2"/>
  <c r="B86" i="2"/>
  <c r="B83" i="2"/>
  <c r="B76" i="2"/>
  <c r="B67" i="2"/>
  <c r="B58" i="2"/>
  <c r="B51" i="2"/>
  <c r="B48" i="2"/>
  <c r="B33" i="2"/>
  <c r="B30" i="2"/>
  <c r="B24" i="2"/>
  <c r="B3" i="2"/>
  <c r="B109" i="2" l="1"/>
  <c r="B99" i="2"/>
  <c r="E114" i="2"/>
  <c r="E115" i="2" s="1"/>
  <c r="B122" i="2"/>
  <c r="E108" i="2"/>
  <c r="E107" i="2"/>
  <c r="E96" i="2"/>
  <c r="E106" i="2"/>
  <c r="E104" i="2"/>
  <c r="E103" i="2"/>
  <c r="E97" i="2"/>
  <c r="E75" i="2"/>
  <c r="E74" i="2"/>
  <c r="E66" i="2"/>
  <c r="E91" i="2"/>
  <c r="E116" i="2" l="1"/>
  <c r="E98" i="2" l="1"/>
  <c r="E95" i="2"/>
  <c r="E92" i="2"/>
  <c r="E93" i="2" s="1"/>
  <c r="E130" i="2"/>
  <c r="E125" i="2"/>
  <c r="E124" i="2"/>
  <c r="E105" i="2"/>
  <c r="E109" i="2" s="1"/>
  <c r="E94" i="2"/>
  <c r="E73" i="2"/>
  <c r="E64" i="2"/>
  <c r="E56" i="2"/>
  <c r="E47" i="2"/>
  <c r="E90" i="2"/>
  <c r="E99" i="2" l="1"/>
  <c r="E111" i="2" s="1"/>
  <c r="E72" i="2"/>
  <c r="E71" i="2"/>
  <c r="E65" i="2"/>
  <c r="E63" i="2"/>
  <c r="E62" i="2"/>
  <c r="E76" i="2" l="1"/>
  <c r="E54" i="2"/>
  <c r="E57" i="2"/>
  <c r="E55" i="2"/>
  <c r="E44" i="2"/>
  <c r="E58" i="2" l="1"/>
  <c r="E46" i="2"/>
  <c r="E45" i="2"/>
  <c r="E42" i="2"/>
  <c r="E40" i="2" l="1"/>
  <c r="E39" i="2"/>
  <c r="E38" i="2"/>
  <c r="E37" i="2"/>
  <c r="E29" i="2"/>
  <c r="E28" i="2"/>
  <c r="E27" i="2"/>
  <c r="E26" i="2"/>
  <c r="E41" i="2" l="1"/>
  <c r="E43" i="2" s="1"/>
  <c r="E48" i="2" s="1"/>
  <c r="B93" i="2"/>
  <c r="B92" i="2"/>
  <c r="B82" i="2"/>
  <c r="B81" i="2"/>
  <c r="B80" i="2"/>
  <c r="B72" i="2"/>
  <c r="B71" i="2"/>
  <c r="B63" i="2"/>
  <c r="B62" i="2"/>
  <c r="B55" i="2"/>
  <c r="B54" i="2"/>
  <c r="B40" i="2"/>
  <c r="B38" i="2"/>
  <c r="B37" i="2"/>
  <c r="B41" i="2"/>
  <c r="B43" i="2"/>
  <c r="E30" i="2" l="1"/>
  <c r="E126" i="2" l="1"/>
  <c r="E16" i="2" s="1"/>
  <c r="E122" i="2"/>
  <c r="E67" i="2"/>
  <c r="E81" i="2" s="1"/>
  <c r="E80" i="2"/>
  <c r="B125" i="2"/>
  <c r="B124" i="2"/>
  <c r="B114" i="2"/>
  <c r="B105" i="2"/>
  <c r="B104" i="2"/>
  <c r="B103" i="2"/>
  <c r="B94" i="2"/>
  <c r="B91" i="2"/>
  <c r="B90" i="2"/>
  <c r="B73" i="2"/>
  <c r="B64" i="2"/>
  <c r="B56" i="2"/>
  <c r="B44" i="2"/>
  <c r="B29" i="2"/>
  <c r="B28" i="2"/>
  <c r="B27" i="2"/>
  <c r="E83" i="2" l="1"/>
  <c r="E82" i="2"/>
  <c r="D99" i="2"/>
  <c r="E11" i="2"/>
  <c r="E12" i="2"/>
  <c r="E117" i="2"/>
  <c r="D126" i="2"/>
  <c r="E17" i="2"/>
  <c r="E13" i="2" l="1"/>
  <c r="E15" i="2"/>
  <c r="E14" i="2" l="1"/>
  <c r="E18" i="2" s="1"/>
  <c r="E19" i="2" s="1"/>
  <c r="D111" i="2"/>
</calcChain>
</file>

<file path=xl/sharedStrings.xml><?xml version="1.0" encoding="utf-8"?>
<sst xmlns="http://schemas.openxmlformats.org/spreadsheetml/2006/main" count="435" uniqueCount="264">
  <si>
    <t>Nr.</t>
  </si>
  <si>
    <t>Gemeinde</t>
  </si>
  <si>
    <t>Ressourcen-
ausgleich</t>
  </si>
  <si>
    <t>Sonderlasten-ausgleich Weite</t>
  </si>
  <si>
    <t>Sonderlasten-ausgleich Schule</t>
  </si>
  <si>
    <t>Sonderlasten-ausgleich Soziales</t>
  </si>
  <si>
    <t>Nettoaufwand für finanzielle Sozialhilfe</t>
  </si>
  <si>
    <t>Nettoaufwand für stationäre Pflege</t>
  </si>
  <si>
    <t>Einkommens- und Vermögenssteuer</t>
  </si>
  <si>
    <t>Quellensteuer</t>
  </si>
  <si>
    <t>Gewinn- und Kapitalsteuer</t>
  </si>
  <si>
    <t>Grundsteuer</t>
  </si>
  <si>
    <t>Technische Steuerkraft pro Einwohner der Gemeinde</t>
  </si>
  <si>
    <t>Ausgleichsfaktor nach Art. 9 FAG</t>
  </si>
  <si>
    <t>Beitrag Stadt nach Art. 25 Abs. 1 FAG</t>
  </si>
  <si>
    <t>Beitrag Stadt nach Art. 25 Abs. 2 FAG</t>
  </si>
  <si>
    <t>St.Gallen</t>
  </si>
  <si>
    <t>Wittenbach</t>
  </si>
  <si>
    <t>Häggenschwil</t>
  </si>
  <si>
    <t>Muolen</t>
  </si>
  <si>
    <t>Mörschwil</t>
  </si>
  <si>
    <t>Goldach</t>
  </si>
  <si>
    <t>Steinach</t>
  </si>
  <si>
    <t>Berg</t>
  </si>
  <si>
    <t>Tübach</t>
  </si>
  <si>
    <t>Untereggen</t>
  </si>
  <si>
    <t>Eggersriet</t>
  </si>
  <si>
    <t>Rorschacherberg</t>
  </si>
  <si>
    <t>Rorschach</t>
  </si>
  <si>
    <t>Thal</t>
  </si>
  <si>
    <t>Rheineck</t>
  </si>
  <si>
    <t>St.Margrethen</t>
  </si>
  <si>
    <t>Au</t>
  </si>
  <si>
    <t>Berneck</t>
  </si>
  <si>
    <t>Balgach</t>
  </si>
  <si>
    <t>Diepoldsau</t>
  </si>
  <si>
    <t>Widnau</t>
  </si>
  <si>
    <t>Rebstein</t>
  </si>
  <si>
    <t>Marbach</t>
  </si>
  <si>
    <t>Altstätten</t>
  </si>
  <si>
    <t>Eichberg</t>
  </si>
  <si>
    <t>Oberriet</t>
  </si>
  <si>
    <t>Rüthi</t>
  </si>
  <si>
    <t>Sennwald</t>
  </si>
  <si>
    <t>Gams</t>
  </si>
  <si>
    <t>Grabs</t>
  </si>
  <si>
    <t>Buchs</t>
  </si>
  <si>
    <t>Sevelen</t>
  </si>
  <si>
    <t>Wartau</t>
  </si>
  <si>
    <t>Sargans</t>
  </si>
  <si>
    <t>Vilters-Wangs</t>
  </si>
  <si>
    <t>Bad Ragaz</t>
  </si>
  <si>
    <t>Pfäfers</t>
  </si>
  <si>
    <t>Mels</t>
  </si>
  <si>
    <t>Flums</t>
  </si>
  <si>
    <t>Walenstadt</t>
  </si>
  <si>
    <t>Quarten</t>
  </si>
  <si>
    <t>Amden</t>
  </si>
  <si>
    <t>Weesen</t>
  </si>
  <si>
    <t>Schänis</t>
  </si>
  <si>
    <t>Benken</t>
  </si>
  <si>
    <t>Kaltbrunn</t>
  </si>
  <si>
    <t>Gommiswald</t>
  </si>
  <si>
    <t>Uznach</t>
  </si>
  <si>
    <t>Schmerikon</t>
  </si>
  <si>
    <t>Rapperswil-Jona</t>
  </si>
  <si>
    <t>Eschenbach</t>
  </si>
  <si>
    <t>Wildhaus-Alt St.Johann</t>
  </si>
  <si>
    <t>Nesslau</t>
  </si>
  <si>
    <t>Ebnat-Kappel</t>
  </si>
  <si>
    <t>Wattwil</t>
  </si>
  <si>
    <t>Lichtensteig</t>
  </si>
  <si>
    <t>Oberhelfenschwil</t>
  </si>
  <si>
    <t>Neckertal</t>
  </si>
  <si>
    <t>Hemberg</t>
  </si>
  <si>
    <t>Bütschwil-Ganterschwil</t>
  </si>
  <si>
    <t>Lütisburg</t>
  </si>
  <si>
    <t>Mosnang</t>
  </si>
  <si>
    <t>Kirchberg</t>
  </si>
  <si>
    <t>Jonschwil</t>
  </si>
  <si>
    <t>Oberuzwil</t>
  </si>
  <si>
    <t>Uzwil</t>
  </si>
  <si>
    <t>Flawil</t>
  </si>
  <si>
    <t>Degersheim</t>
  </si>
  <si>
    <t>Wil</t>
  </si>
  <si>
    <t>Zuzwil</t>
  </si>
  <si>
    <t>Oberbüren</t>
  </si>
  <si>
    <t>Niederbüren</t>
  </si>
  <si>
    <t>Niederhelfenschwil</t>
  </si>
  <si>
    <t>Gossau</t>
  </si>
  <si>
    <t>Andwil</t>
  </si>
  <si>
    <t>Waldkirch</t>
  </si>
  <si>
    <t>Gaiserwald</t>
  </si>
  <si>
    <t>Total</t>
  </si>
  <si>
    <t>Kanton St.Gallen</t>
  </si>
  <si>
    <t>Amt für Gemeinden</t>
  </si>
  <si>
    <t>Politische Gemeinde:</t>
  </si>
  <si>
    <t>Rechnungsjahr:</t>
  </si>
  <si>
    <t>1. Stufe Finanzausgleich (Art. 5 bis 27 FAG)</t>
  </si>
  <si>
    <t>Ressourcenausgleich (Art. 5 bis 10 FAG)</t>
  </si>
  <si>
    <t>Formel gemäss Anhang 1 FAG</t>
  </si>
  <si>
    <t>Ausgleichsfaktor</t>
  </si>
  <si>
    <t>ρ</t>
  </si>
  <si>
    <t>%</t>
  </si>
  <si>
    <r>
      <t>tSTK</t>
    </r>
    <r>
      <rPr>
        <vertAlign val="subscript"/>
        <sz val="10"/>
        <rFont val="Arial"/>
        <family val="2"/>
      </rPr>
      <t>Kanton</t>
    </r>
  </si>
  <si>
    <t>Fr.</t>
  </si>
  <si>
    <r>
      <t>tSTK</t>
    </r>
    <r>
      <rPr>
        <vertAlign val="subscript"/>
        <sz val="10"/>
        <rFont val="Arial"/>
        <family val="2"/>
      </rPr>
      <t>Gemeinde</t>
    </r>
  </si>
  <si>
    <r>
      <t>BEV</t>
    </r>
    <r>
      <rPr>
        <vertAlign val="subscript"/>
        <sz val="10"/>
        <rFont val="Arial"/>
        <family val="2"/>
      </rPr>
      <t>Gemeinde</t>
    </r>
  </si>
  <si>
    <t>Ew</t>
  </si>
  <si>
    <r>
      <t>RA</t>
    </r>
    <r>
      <rPr>
        <b/>
        <vertAlign val="subscript"/>
        <sz val="10"/>
        <rFont val="Arial"/>
        <family val="2"/>
      </rPr>
      <t>Gemeinde</t>
    </r>
  </si>
  <si>
    <t>Sonderlastenausgleich Weite (Art. 11 - 17 FAG)</t>
  </si>
  <si>
    <r>
      <t>M</t>
    </r>
    <r>
      <rPr>
        <vertAlign val="subscript"/>
        <sz val="10"/>
        <rFont val="Arial"/>
        <family val="2"/>
      </rPr>
      <t>Str</t>
    </r>
  </si>
  <si>
    <t>Kürzung gemäss Anhang 5 FAG</t>
  </si>
  <si>
    <r>
      <t>SLW</t>
    </r>
    <r>
      <rPr>
        <b/>
        <vertAlign val="subscript"/>
        <sz val="10"/>
        <rFont val="Arial"/>
        <family val="2"/>
      </rPr>
      <t>Gemeinde</t>
    </r>
  </si>
  <si>
    <t>a) Unterbringung Kinder und Jugendliche</t>
  </si>
  <si>
    <t>Formel gemäss Anhang 2a Bst. a FAG</t>
  </si>
  <si>
    <t>b) Sozialhilfe</t>
  </si>
  <si>
    <t>Formel gemäss Anhang 2a Bst. b FAG</t>
  </si>
  <si>
    <t>c) Stationäre Pflege</t>
  </si>
  <si>
    <t>Formel gemäss Anhang 2a Bst. c FAG</t>
  </si>
  <si>
    <t>Wert</t>
  </si>
  <si>
    <t>a) Volksschule</t>
  </si>
  <si>
    <t>Pauschalbetrag je Schüler/in in der Volksschule</t>
  </si>
  <si>
    <r>
      <t>M</t>
    </r>
    <r>
      <rPr>
        <vertAlign val="subscript"/>
        <sz val="10"/>
        <rFont val="Arial"/>
        <family val="2"/>
      </rPr>
      <t>Sch</t>
    </r>
  </si>
  <si>
    <t>b) Sonderschule</t>
  </si>
  <si>
    <t>Formel gemäss Anhang 3b FAG</t>
  </si>
  <si>
    <t>Pauschalbetrag je Schüler/in in der Sonderschule</t>
  </si>
  <si>
    <r>
      <t>M</t>
    </r>
    <r>
      <rPr>
        <vertAlign val="subscript"/>
        <sz val="10"/>
        <rFont val="Arial"/>
        <family val="2"/>
      </rPr>
      <t>SoSch</t>
    </r>
  </si>
  <si>
    <t>Sonderlastenausgleich Stadt St.Gallen (Art. 24 - 27 FAG)</t>
  </si>
  <si>
    <t>Beitrag nach Art. 25 Abs. 1 FAG, teuerungsbereinigt</t>
  </si>
  <si>
    <t>Beitrag nach Art. 25 Abs. 2 FAG, teuerungsbereinigt</t>
  </si>
  <si>
    <t>Basis: 9'000'000</t>
  </si>
  <si>
    <t>Formel gemäss Anhang 4 FAG</t>
  </si>
  <si>
    <t>Ausgleichsgrenze nach Art. 35 Abs. 2 FAG</t>
  </si>
  <si>
    <t>3. Stufe Finanzausgleich (Übergangsregelung nach Art. 49 bis 53 FAG)</t>
  </si>
  <si>
    <t>Ressourcenausgleich</t>
  </si>
  <si>
    <t>Sonderlastenausgleich Weite</t>
  </si>
  <si>
    <t>Sonderlastenausgleich Schule</t>
  </si>
  <si>
    <t>Soziodemographischer Sonderlastenausgleich</t>
  </si>
  <si>
    <t>Sonderlastenausgleich Stadt</t>
  </si>
  <si>
    <t>Partieller Steuerfussausgleich</t>
  </si>
  <si>
    <t>Übergangsausgleich</t>
  </si>
  <si>
    <t>Beitrag pro Einwohner/in</t>
  </si>
  <si>
    <t>Basiszahlen</t>
  </si>
  <si>
    <t>Beiträge aus dem Finanzausgleich</t>
  </si>
  <si>
    <t>Grundlagedaten</t>
  </si>
  <si>
    <t>Weite</t>
  </si>
  <si>
    <t>Schule</t>
  </si>
  <si>
    <t>Soziodemographie</t>
  </si>
  <si>
    <t>Partieller Steuerfuss-ausgleich</t>
  </si>
  <si>
    <t>Übergangs-ausgleich</t>
  </si>
  <si>
    <t>Nettoaufwand 
IVSE-A</t>
  </si>
  <si>
    <t>Handänderungs-steuer</t>
  </si>
  <si>
    <t>Grundstück-gewinnsteuer</t>
  </si>
  <si>
    <t>Technische Steuer-kraft pro Einwoh-ner/in im Kantons-durchschnitt</t>
  </si>
  <si>
    <t>Kürzungsfaktor für Gemeinden mit Steuerkraft über 94,5 % des Kan-tonsdurchschnitts</t>
  </si>
  <si>
    <r>
      <rPr>
        <sz val="10"/>
        <rFont val="Arial"/>
        <family val="2"/>
      </rPr>
      <t>SFv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/>
    </r>
  </si>
  <si>
    <r>
      <rPr>
        <sz val="10"/>
        <rFont val="Arial"/>
        <family val="2"/>
      </rPr>
      <t>SF</t>
    </r>
    <r>
      <rPr>
        <vertAlign val="subscript"/>
        <sz val="10"/>
        <rFont val="Arial"/>
        <family val="2"/>
      </rPr>
      <t>145</t>
    </r>
    <r>
      <rPr>
        <sz val="10"/>
        <rFont val="Arial"/>
        <family val="2"/>
      </rPr>
      <t/>
    </r>
  </si>
  <si>
    <r>
      <rPr>
        <sz val="10"/>
        <rFont val="Arial"/>
        <family val="2"/>
      </rPr>
      <t>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/>
    </r>
  </si>
  <si>
    <r>
      <rPr>
        <sz val="10"/>
        <rFont val="Arial"/>
        <family val="2"/>
      </rPr>
      <t>STK</t>
    </r>
    <r>
      <rPr>
        <vertAlign val="subscript"/>
        <sz val="10"/>
        <rFont val="Arial"/>
        <family val="2"/>
      </rPr>
      <t>Gemeinde</t>
    </r>
  </si>
  <si>
    <r>
      <t>SFA</t>
    </r>
    <r>
      <rPr>
        <b/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/>
    </r>
  </si>
  <si>
    <r>
      <rPr>
        <sz val="10"/>
        <rFont val="Arial"/>
        <family val="2"/>
      </rPr>
      <t>BEV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</si>
  <si>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t>SoKuJ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</si>
  <si>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t>SoSH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</si>
  <si>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t>SoStPf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</si>
  <si>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SchQ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</si>
  <si>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SchQ</t>
    </r>
    <r>
      <rPr>
        <vertAlign val="subscript"/>
        <sz val="10"/>
        <rFont val="Arial"/>
        <family val="2"/>
      </rPr>
      <t>Kanton</t>
    </r>
    <r>
      <rPr>
        <sz val="10"/>
        <color theme="1"/>
        <rFont val="Arial"/>
        <family val="2"/>
      </rPr>
      <t/>
    </r>
  </si>
  <si>
    <r>
      <t>SLSch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</si>
  <si>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SoSchQ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</si>
  <si>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SoSchQ</t>
    </r>
    <r>
      <rPr>
        <vertAlign val="subscript"/>
        <sz val="10"/>
        <rFont val="Arial"/>
        <family val="2"/>
      </rPr>
      <t>Kanton</t>
    </r>
    <r>
      <rPr>
        <sz val="10"/>
        <color theme="1"/>
        <rFont val="Arial"/>
        <family val="2"/>
      </rPr>
      <t/>
    </r>
  </si>
  <si>
    <r>
      <t>SLSoSch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</si>
  <si>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t>Soziodemographischer Sonderlastenausgleich (Art. 17a -17g FAG)</t>
  </si>
  <si>
    <t>Sonderlastenausgleich Schule (Art. 18 - 21 FAG)</t>
  </si>
  <si>
    <t>2. Stufe Finanzausgleich (Art. 64a FAG)</t>
  </si>
  <si>
    <r>
      <t>RA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(ρ x tSTK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 xml:space="preserve"> - tSTK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) x </t>
    </r>
    <r>
      <rPr>
        <sz val="10"/>
        <rFont val="Arial"/>
        <family val="2"/>
      </rPr>
      <t>BEV</t>
    </r>
    <r>
      <rPr>
        <vertAlign val="subscript"/>
        <sz val="10"/>
        <rFont val="Arial"/>
        <family val="2"/>
      </rPr>
      <t>Gemeinde</t>
    </r>
  </si>
  <si>
    <r>
      <t>SLW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IW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M</t>
    </r>
    <r>
      <rPr>
        <vertAlign val="subscript"/>
        <sz val="10"/>
        <rFont val="Arial"/>
        <family val="2"/>
      </rPr>
      <t>IW</t>
    </r>
    <r>
      <rPr>
        <sz val="10"/>
        <rFont val="Arial"/>
        <family val="2"/>
      </rPr>
      <t xml:space="preserve"> x σ</t>
    </r>
    <r>
      <rPr>
        <vertAlign val="subscript"/>
        <sz val="10"/>
        <rFont val="Arial"/>
        <family val="2"/>
      </rPr>
      <t>Weite</t>
    </r>
  </si>
  <si>
    <t>…wobei</t>
  </si>
  <si>
    <t>…und</t>
  </si>
  <si>
    <r>
      <t>IW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SI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/ S</t>
    </r>
    <r>
      <rPr>
        <vertAlign val="subscript"/>
        <sz val="10"/>
        <rFont val="Arial"/>
        <family val="2"/>
      </rPr>
      <t>SI</t>
    </r>
  </si>
  <si>
    <r>
      <t>SI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I</t>
    </r>
    <r>
      <rPr>
        <vertAlign val="subscript"/>
        <sz val="10"/>
        <rFont val="Arial"/>
        <family val="2"/>
      </rPr>
      <t>km</t>
    </r>
    <r>
      <rPr>
        <sz val="10"/>
        <rFont val="Arial"/>
        <family val="2"/>
      </rPr>
      <t xml:space="preserve"> + 0.1 x I</t>
    </r>
    <r>
      <rPr>
        <vertAlign val="subscript"/>
        <sz val="10"/>
        <rFont val="Arial"/>
        <family val="2"/>
      </rPr>
      <t>Höhe</t>
    </r>
    <r>
      <rPr>
        <sz val="10"/>
        <rFont val="Arial"/>
        <family val="2"/>
      </rPr>
      <t xml:space="preserve"> + 0.1 x I</t>
    </r>
    <r>
      <rPr>
        <vertAlign val="subscript"/>
        <sz val="10"/>
        <rFont val="Arial"/>
        <family val="2"/>
      </rPr>
      <t>Dichte</t>
    </r>
    <r>
      <rPr>
        <sz val="10"/>
        <rFont val="Arial"/>
        <family val="2"/>
      </rPr>
      <t xml:space="preserve"> + 0.1 x I</t>
    </r>
    <r>
      <rPr>
        <vertAlign val="subscript"/>
        <sz val="10"/>
        <rFont val="Arial"/>
        <family val="2"/>
      </rPr>
      <t>Streuung</t>
    </r>
  </si>
  <si>
    <r>
      <t>I</t>
    </r>
    <r>
      <rPr>
        <vertAlign val="subscript"/>
        <sz val="10"/>
        <rFont val="Arial"/>
        <family val="2"/>
      </rPr>
      <t>km</t>
    </r>
  </si>
  <si>
    <r>
      <t>I</t>
    </r>
    <r>
      <rPr>
        <vertAlign val="subscript"/>
        <sz val="10"/>
        <rFont val="Arial"/>
        <family val="2"/>
      </rPr>
      <t>Höhe</t>
    </r>
  </si>
  <si>
    <r>
      <t>I</t>
    </r>
    <r>
      <rPr>
        <vertAlign val="subscript"/>
        <sz val="10"/>
        <rFont val="Arial"/>
        <family val="2"/>
      </rPr>
      <t>Dichte</t>
    </r>
  </si>
  <si>
    <t>Standardisierter Indikator der Streuung bedeutender Siedlungen auf dem Gemeindegebiet</t>
  </si>
  <si>
    <r>
      <t>I</t>
    </r>
    <r>
      <rPr>
        <vertAlign val="subscript"/>
        <sz val="10"/>
        <rFont val="Arial"/>
        <family val="2"/>
      </rPr>
      <t>Streuung</t>
    </r>
  </si>
  <si>
    <r>
      <t>SI</t>
    </r>
    <r>
      <rPr>
        <vertAlign val="subscript"/>
        <sz val="10"/>
        <rFont val="Arial"/>
        <family val="2"/>
      </rPr>
      <t xml:space="preserve">Gemeinde </t>
    </r>
  </si>
  <si>
    <t>Standardabweichung der Summe der gewichteten Indikatoren</t>
  </si>
  <si>
    <r>
      <t>S</t>
    </r>
    <r>
      <rPr>
        <vertAlign val="subscript"/>
        <sz val="10"/>
        <rFont val="Arial"/>
        <family val="2"/>
      </rPr>
      <t>SI</t>
    </r>
  </si>
  <si>
    <t>Beitragssatz Weite</t>
  </si>
  <si>
    <t>Koeffizient von Fr. 249.- je Indexpunkt Weite</t>
  </si>
  <si>
    <t>…wobei…</t>
  </si>
  <si>
    <t>Formel gemäss Anhang 2 FAG…</t>
  </si>
  <si>
    <r>
      <t>SoKuJ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(NAKuJ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NAKuJ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>)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σ</t>
    </r>
    <r>
      <rPr>
        <vertAlign val="subscript"/>
        <sz val="10"/>
        <rFont val="Arial"/>
        <family val="2"/>
      </rPr>
      <t>KuJ</t>
    </r>
  </si>
  <si>
    <r>
      <t>NAKuJ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</si>
  <si>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t>NAKuJ</t>
    </r>
    <r>
      <rPr>
        <vertAlign val="subscript"/>
        <sz val="10"/>
        <rFont val="Arial"/>
        <family val="2"/>
      </rPr>
      <t>Kanton</t>
    </r>
    <r>
      <rPr>
        <sz val="10"/>
        <color theme="1"/>
        <rFont val="Arial"/>
        <family val="2"/>
      </rPr>
      <t/>
    </r>
  </si>
  <si>
    <t>Beitragssatz Kinder und Jugendliche</t>
  </si>
  <si>
    <r>
      <t>σ</t>
    </r>
    <r>
      <rPr>
        <vertAlign val="subscript"/>
        <sz val="10"/>
        <rFont val="Arial"/>
        <family val="2"/>
      </rPr>
      <t>KuJ</t>
    </r>
  </si>
  <si>
    <r>
      <t>SoSH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(NASH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NASH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>)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σ</t>
    </r>
    <r>
      <rPr>
        <vertAlign val="subscript"/>
        <sz val="10"/>
        <rFont val="Arial"/>
        <family val="2"/>
      </rPr>
      <t>SH</t>
    </r>
  </si>
  <si>
    <r>
      <t>NASH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</si>
  <si>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t>NASH</t>
    </r>
    <r>
      <rPr>
        <vertAlign val="subscript"/>
        <sz val="10"/>
        <rFont val="Arial"/>
        <family val="2"/>
      </rPr>
      <t>Kanton</t>
    </r>
    <r>
      <rPr>
        <sz val="10"/>
        <color theme="1"/>
        <rFont val="Arial"/>
        <family val="2"/>
      </rPr>
      <t/>
    </r>
  </si>
  <si>
    <r>
      <t>σ</t>
    </r>
    <r>
      <rPr>
        <vertAlign val="subscript"/>
        <sz val="10"/>
        <rFont val="Arial"/>
        <family val="2"/>
      </rPr>
      <t>SH</t>
    </r>
  </si>
  <si>
    <r>
      <t>SoStPf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(NAStPf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NAStPf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>)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σ</t>
    </r>
    <r>
      <rPr>
        <vertAlign val="subscript"/>
        <sz val="10"/>
        <rFont val="Arial"/>
        <family val="2"/>
      </rPr>
      <t>StPf</t>
    </r>
  </si>
  <si>
    <r>
      <t>NAStPf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</si>
  <si>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t>NAStPf</t>
    </r>
    <r>
      <rPr>
        <vertAlign val="subscript"/>
        <sz val="10"/>
        <rFont val="Arial"/>
        <family val="2"/>
      </rPr>
      <t>Kanton</t>
    </r>
    <r>
      <rPr>
        <sz val="10"/>
        <color theme="1"/>
        <rFont val="Arial"/>
        <family val="2"/>
      </rPr>
      <t/>
    </r>
  </si>
  <si>
    <r>
      <t>σ</t>
    </r>
    <r>
      <rPr>
        <vertAlign val="subscript"/>
        <sz val="10"/>
        <rFont val="Arial"/>
        <family val="2"/>
      </rPr>
      <t>StPf</t>
    </r>
  </si>
  <si>
    <t>Ausgleichsbeitrag soziodemographischer Sonderlastenauslgeich</t>
  </si>
  <si>
    <t>Formel gemäss Anhang 2a Bst. e FAG</t>
  </si>
  <si>
    <r>
      <t>SLSo</t>
    </r>
    <r>
      <rPr>
        <vertAlign val="subscript"/>
        <sz val="10"/>
        <color theme="1"/>
        <rFont val="Arial"/>
        <family val="2"/>
      </rPr>
      <t>Gemeinde</t>
    </r>
    <r>
      <rPr>
        <sz val="10"/>
        <color theme="1"/>
        <rFont val="Arial"/>
        <family val="2"/>
      </rPr>
      <t xml:space="preserve"> = SoKuJ</t>
    </r>
    <r>
      <rPr>
        <vertAlign val="subscript"/>
        <sz val="10"/>
        <color theme="1"/>
        <rFont val="Arial"/>
        <family val="2"/>
      </rPr>
      <t>Gemeinde</t>
    </r>
    <r>
      <rPr>
        <sz val="10"/>
        <color theme="1"/>
        <rFont val="Arial"/>
        <family val="2"/>
      </rPr>
      <t xml:space="preserve"> + SoSH</t>
    </r>
    <r>
      <rPr>
        <vertAlign val="subscript"/>
        <sz val="10"/>
        <color theme="1"/>
        <rFont val="Arial"/>
        <family val="2"/>
      </rPr>
      <t>Gemeinde</t>
    </r>
    <r>
      <rPr>
        <sz val="10"/>
        <color theme="1"/>
        <rFont val="Arial"/>
        <family val="2"/>
      </rPr>
      <t xml:space="preserve"> + SoStPf</t>
    </r>
    <r>
      <rPr>
        <vertAlign val="subscript"/>
        <sz val="10"/>
        <color theme="1"/>
        <rFont val="Arial"/>
        <family val="2"/>
      </rPr>
      <t>Gemeinde</t>
    </r>
  </si>
  <si>
    <r>
      <t>SoKuJ</t>
    </r>
    <r>
      <rPr>
        <vertAlign val="subscript"/>
        <sz val="10"/>
        <color theme="1"/>
        <rFont val="Arial"/>
        <family val="2"/>
      </rPr>
      <t>Gemeinde</t>
    </r>
  </si>
  <si>
    <r>
      <t>SoSH</t>
    </r>
    <r>
      <rPr>
        <vertAlign val="subscript"/>
        <sz val="10"/>
        <color theme="1"/>
        <rFont val="Arial"/>
        <family val="2"/>
      </rPr>
      <t>Gemeinde</t>
    </r>
  </si>
  <si>
    <r>
      <t>SoStPf</t>
    </r>
    <r>
      <rPr>
        <vertAlign val="subscript"/>
        <sz val="10"/>
        <color theme="1"/>
        <rFont val="Arial"/>
        <family val="2"/>
      </rPr>
      <t>Gemeinde</t>
    </r>
  </si>
  <si>
    <t>Formel gemäss Anhang 3a FAG…</t>
  </si>
  <si>
    <r>
      <t>SLSch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(SchQ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BI'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SchQ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>)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M</t>
    </r>
    <r>
      <rPr>
        <vertAlign val="subscript"/>
        <sz val="10"/>
        <rFont val="Arial"/>
        <family val="2"/>
      </rPr>
      <t>Sch</t>
    </r>
    <r>
      <rPr>
        <sz val="10"/>
        <rFont val="Arial"/>
        <family val="2"/>
      </rPr>
      <t xml:space="preserve"> x σ</t>
    </r>
    <r>
      <rPr>
        <vertAlign val="subscript"/>
        <sz val="10"/>
        <rFont val="Arial"/>
        <family val="2"/>
      </rPr>
      <t>VS</t>
    </r>
  </si>
  <si>
    <r>
      <t>BI'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1 + (BI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- 1) x 0.15</t>
    </r>
  </si>
  <si>
    <r>
      <t>BI</t>
    </r>
    <r>
      <rPr>
        <vertAlign val="subscript"/>
        <sz val="10"/>
        <rFont val="Arial"/>
        <family val="2"/>
      </rPr>
      <t>Gemeinde</t>
    </r>
  </si>
  <si>
    <r>
      <t>BI'</t>
    </r>
    <r>
      <rPr>
        <vertAlign val="subscript"/>
        <sz val="10"/>
        <rFont val="Arial"/>
        <family val="2"/>
      </rPr>
      <t>Gemeinde</t>
    </r>
  </si>
  <si>
    <r>
      <t>σ</t>
    </r>
    <r>
      <rPr>
        <vertAlign val="subscript"/>
        <sz val="10"/>
        <rFont val="Arial"/>
        <family val="2"/>
      </rPr>
      <t>VS</t>
    </r>
  </si>
  <si>
    <r>
      <t>SLSoSch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(SoSchQ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SoSchQ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>)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M</t>
    </r>
    <r>
      <rPr>
        <vertAlign val="subscript"/>
        <sz val="10"/>
        <rFont val="Arial"/>
        <family val="2"/>
      </rPr>
      <t>SoSch</t>
    </r>
    <r>
      <rPr>
        <sz val="10"/>
        <rFont val="Arial"/>
        <family val="2"/>
      </rPr>
      <t xml:space="preserve"> x σ</t>
    </r>
    <r>
      <rPr>
        <vertAlign val="subscript"/>
        <sz val="10"/>
        <rFont val="Arial"/>
        <family val="2"/>
      </rPr>
      <t>SoSch</t>
    </r>
  </si>
  <si>
    <t>Beitragssatz Sonderschule</t>
  </si>
  <si>
    <r>
      <t>σ</t>
    </r>
    <r>
      <rPr>
        <vertAlign val="subscript"/>
        <sz val="10"/>
        <rFont val="Arial"/>
        <family val="2"/>
      </rPr>
      <t>SoSch</t>
    </r>
  </si>
  <si>
    <r>
      <t>SFA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(SFv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SF</t>
    </r>
    <r>
      <rPr>
        <vertAlign val="subscript"/>
        <sz val="10"/>
        <rFont val="Arial"/>
        <family val="2"/>
      </rPr>
      <t>145</t>
    </r>
    <r>
      <rPr>
        <sz val="10"/>
        <rFont val="Arial"/>
        <family val="2"/>
      </rPr>
      <t>) x 0.4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STK</t>
    </r>
    <r>
      <rPr>
        <vertAlign val="subscript"/>
        <sz val="10"/>
        <rFont val="Arial"/>
        <family val="2"/>
      </rPr>
      <t>Gemeinde</t>
    </r>
  </si>
  <si>
    <t>Allg. Faktoren</t>
  </si>
  <si>
    <t>Kürzungsfaktor Schule</t>
  </si>
  <si>
    <t>Kürzungsfaktor SL Sozio</t>
  </si>
  <si>
    <t>Technische Steuerkraft im Durchschnitt von 2014</t>
  </si>
  <si>
    <t>Technische Steuerkraft im Durchschnitt von 2015</t>
  </si>
  <si>
    <t>Technische Steuerkraft im Durchschnitt von 2014/2015</t>
  </si>
  <si>
    <t>Sozio</t>
  </si>
  <si>
    <t>beschlossener Steuerfuss 2014</t>
  </si>
  <si>
    <t>beschlossener Steuerfuss 2015</t>
  </si>
  <si>
    <t>Einwohnerzahl am 31.12.2014</t>
  </si>
  <si>
    <t>Einwohnerzahl am 31.12.2015</t>
  </si>
  <si>
    <t>gewichtete Strassenlänge am 31.12.2015</t>
  </si>
  <si>
    <t>Einwohner über 800 m.ü.M. am 31.12.2015</t>
  </si>
  <si>
    <t>Dispersion mehrerer Zentren am 31.12.2015</t>
  </si>
  <si>
    <t>Fläche in ha gem. amtl. Vermessung am 31.12.2015</t>
  </si>
  <si>
    <t>Schülerzahl der Volksschule am 31.12.2015</t>
  </si>
  <si>
    <t>Schülerzahl der Sonderschule am 31.12.2015</t>
  </si>
  <si>
    <t>BLD-Index am 31.12.2015</t>
  </si>
  <si>
    <t>Ikm</t>
  </si>
  <si>
    <t>IHöhe</t>
  </si>
  <si>
    <t>IStreuung</t>
  </si>
  <si>
    <t>IDichte</t>
  </si>
  <si>
    <t>SSI</t>
  </si>
  <si>
    <t>MIW</t>
  </si>
  <si>
    <t>σWeite</t>
  </si>
  <si>
    <t>MSch</t>
  </si>
  <si>
    <t>MSoSch</t>
  </si>
  <si>
    <t>σVS</t>
  </si>
  <si>
    <t>σSoSch</t>
  </si>
  <si>
    <t>σKuJ, σSH und σStPf</t>
  </si>
  <si>
    <t>Juni-Index 2016 der Konsumentenpreise</t>
  </si>
  <si>
    <r>
      <t>σ</t>
    </r>
    <r>
      <rPr>
        <vertAlign val="subscript"/>
        <sz val="10"/>
        <rFont val="Arial"/>
        <family val="2"/>
      </rPr>
      <t>Weite</t>
    </r>
  </si>
  <si>
    <r>
      <t>IW</t>
    </r>
    <r>
      <rPr>
        <vertAlign val="subscript"/>
        <sz val="10"/>
        <rFont val="Arial"/>
        <family val="2"/>
      </rPr>
      <t>Gemeinde</t>
    </r>
  </si>
  <si>
    <t>Beitragssatz bei überdurchschnittlicher Belastung durch die Sozialhilfe (Art. 17e Abs. 1bis Bst. a)</t>
  </si>
  <si>
    <t>Beitragssatz bei unterdurchschnittlicher Belastung durch die Sozialhilfe (Art. 17e Abs. 1bis Bst. b)</t>
  </si>
  <si>
    <t>Beitragssatz bei überdurchschnittlicher Belastung durch die stationäre Pflege (Art. 17g Abs. 1bis Bst. a)</t>
  </si>
  <si>
    <t>Beitragssatz bei unterdurchschnittlicher Belastung durch die stationäre Pflege (Art. 17g Abs. 1bis Bst. b)</t>
  </si>
  <si>
    <t>Beitragssatz bei überdurchschnittlicher Belastung durch die Volksschule (Art. 21 Abs. 1 Bst. a)</t>
  </si>
  <si>
    <t>Beitragssatz bei unterdurchschnittlicher Belastung durch die Volksschule (Art. 21 Abs. 1 Bst. b)</t>
  </si>
  <si>
    <t>Basis: 7'000'000</t>
  </si>
  <si>
    <t>Finanzausgleich 2017</t>
  </si>
  <si>
    <t>Zusammenzug Definitive Beiträge</t>
  </si>
  <si>
    <t>Total Definitive Beiträge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</si>
</sst>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  <numFmt numFmtId="166" formatCode="0.0%"/>
    <numFmt numFmtId="167" formatCode="_ * #,##0.000000_ ;_ * \-#,##0.000000_ ;_ * &quot;-&quot;??_ ;_ @_ "/>
    <numFmt numFmtId="168" formatCode="0.000%"/>
    <numFmt numFmtId="169" formatCode="#,##0.00_ ;\-#,##0.00\ "/>
    <numFmt numFmtId="170" formatCode="#,##0.0000"/>
    <numFmt numFmtId="171" formatCode="#,##0.00000"/>
    <numFmt numFmtId="172" formatCode="_ * #,##0.0000000_ ;_ * \-#,##0.0000000_ ;_ * &quot;-&quot;??_ ;_ @_ "/>
  </numFmts>
  <fonts count="1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vertAlign val="subscript"/>
      <sz val="10"/>
      <name val="Arial"/>
      <family val="2"/>
    </font>
    <font>
      <b/>
      <vertAlign val="subscript"/>
      <sz val="10"/>
      <name val="Arial"/>
      <family val="2"/>
    </font>
    <font>
      <b/>
      <sz val="10"/>
      <color theme="1"/>
      <name val="Arial"/>
      <family val="2"/>
    </font>
    <font>
      <sz val="7"/>
      <name val="Arial"/>
      <family val="2"/>
    </font>
    <font>
      <b/>
      <sz val="10"/>
      <color rgb="FFFF0000"/>
      <name val="Arial"/>
      <family val="2"/>
    </font>
    <font>
      <vertAlign val="subscript"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12" xfId="0" applyBorder="1" applyAlignment="1" applyProtection="1">
      <alignment horizontal="left" vertical="center"/>
      <protection hidden="1"/>
    </xf>
    <xf numFmtId="0" fontId="2" fillId="0" borderId="12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5" fillId="3" borderId="6" xfId="0" applyFont="1" applyFill="1" applyBorder="1" applyAlignment="1" applyProtection="1">
      <alignment vertical="center"/>
      <protection hidden="1"/>
    </xf>
    <xf numFmtId="0" fontId="3" fillId="3" borderId="6" xfId="0" applyFont="1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5" fillId="3" borderId="2" xfId="0" applyFont="1" applyFill="1" applyBorder="1" applyAlignment="1" applyProtection="1">
      <alignment vertical="center"/>
      <protection hidden="1"/>
    </xf>
    <xf numFmtId="0" fontId="0" fillId="3" borderId="13" xfId="0" applyFill="1" applyBorder="1" applyAlignment="1" applyProtection="1">
      <alignment vertical="center"/>
      <protection hidden="1"/>
    </xf>
    <xf numFmtId="0" fontId="3" fillId="3" borderId="13" xfId="0" applyFont="1" applyFill="1" applyBorder="1" applyAlignment="1" applyProtection="1">
      <alignment vertical="center"/>
      <protection hidden="1"/>
    </xf>
    <xf numFmtId="0" fontId="3" fillId="3" borderId="13" xfId="0" applyFont="1" applyFill="1" applyBorder="1" applyAlignment="1" applyProtection="1">
      <alignment vertical="center" wrapText="1"/>
      <protection hidden="1"/>
    </xf>
    <xf numFmtId="43" fontId="0" fillId="3" borderId="0" xfId="0" applyNumberFormat="1" applyFill="1" applyProtection="1">
      <protection hidden="1"/>
    </xf>
    <xf numFmtId="0" fontId="3" fillId="3" borderId="0" xfId="0" applyFont="1" applyFill="1" applyProtection="1">
      <protection hidden="1"/>
    </xf>
    <xf numFmtId="166" fontId="0" fillId="3" borderId="0" xfId="2" applyNumberFormat="1" applyFont="1" applyFill="1" applyProtection="1">
      <protection hidden="1"/>
    </xf>
    <xf numFmtId="0" fontId="0" fillId="3" borderId="0" xfId="0" applyFill="1" applyProtection="1">
      <protection hidden="1"/>
    </xf>
    <xf numFmtId="43" fontId="0" fillId="3" borderId="0" xfId="1" applyFont="1" applyFill="1" applyProtection="1">
      <protection hidden="1"/>
    </xf>
    <xf numFmtId="164" fontId="0" fillId="3" borderId="0" xfId="1" applyNumberFormat="1" applyFont="1" applyFill="1" applyProtection="1">
      <protection hidden="1"/>
    </xf>
    <xf numFmtId="0" fontId="5" fillId="3" borderId="10" xfId="0" applyFont="1" applyFill="1" applyBorder="1" applyAlignment="1" applyProtection="1">
      <alignment vertical="center"/>
      <protection hidden="1"/>
    </xf>
    <xf numFmtId="0" fontId="5" fillId="3" borderId="10" xfId="0" applyFont="1" applyFill="1" applyBorder="1" applyAlignment="1" applyProtection="1">
      <alignment vertical="center" wrapText="1"/>
      <protection hidden="1"/>
    </xf>
    <xf numFmtId="43" fontId="5" fillId="3" borderId="10" xfId="1" applyFont="1" applyFill="1" applyBorder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10" fontId="0" fillId="3" borderId="0" xfId="2" applyNumberFormat="1" applyFont="1" applyFill="1" applyAlignment="1" applyProtection="1">
      <alignment vertic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0" fillId="4" borderId="14" xfId="0" applyFill="1" applyBorder="1" applyAlignment="1" applyProtection="1">
      <alignment vertical="center"/>
      <protection hidden="1"/>
    </xf>
    <xf numFmtId="0" fontId="3" fillId="4" borderId="14" xfId="0" applyFont="1" applyFill="1" applyBorder="1" applyAlignment="1" applyProtection="1">
      <alignment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3" fillId="4" borderId="0" xfId="0" applyFont="1" applyFill="1" applyAlignment="1" applyProtection="1">
      <alignment vertical="center"/>
      <protection hidden="1"/>
    </xf>
    <xf numFmtId="167" fontId="0" fillId="4" borderId="0" xfId="1" applyNumberFormat="1" applyFont="1" applyFill="1" applyAlignment="1" applyProtection="1">
      <alignment vertical="center"/>
      <protection hidden="1"/>
    </xf>
    <xf numFmtId="164" fontId="0" fillId="4" borderId="0" xfId="1" applyNumberFormat="1" applyFont="1" applyFill="1" applyAlignment="1" applyProtection="1">
      <alignment vertical="center"/>
      <protection hidden="1"/>
    </xf>
    <xf numFmtId="0" fontId="0" fillId="4" borderId="10" xfId="0" applyFill="1" applyBorder="1" applyAlignment="1" applyProtection="1">
      <alignment vertical="center"/>
      <protection hidden="1"/>
    </xf>
    <xf numFmtId="0" fontId="3" fillId="4" borderId="10" xfId="0" applyFont="1" applyFill="1" applyBorder="1" applyAlignment="1" applyProtection="1">
      <alignment vertical="center"/>
      <protection hidden="1"/>
    </xf>
    <xf numFmtId="43" fontId="0" fillId="4" borderId="10" xfId="1" applyFont="1" applyFill="1" applyBorder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5" fillId="4" borderId="6" xfId="0" applyFont="1" applyFill="1" applyBorder="1" applyAlignment="1" applyProtection="1">
      <alignment vertical="center"/>
      <protection hidden="1"/>
    </xf>
    <xf numFmtId="0" fontId="0" fillId="4" borderId="0" xfId="0" applyFill="1" applyProtection="1">
      <protection hidden="1"/>
    </xf>
    <xf numFmtId="0" fontId="5" fillId="4" borderId="13" xfId="0" applyFont="1" applyFill="1" applyBorder="1" applyAlignment="1" applyProtection="1">
      <alignment vertical="center"/>
      <protection hidden="1"/>
    </xf>
    <xf numFmtId="43" fontId="0" fillId="4" borderId="0" xfId="1" applyNumberFormat="1" applyFont="1" applyFill="1" applyAlignment="1" applyProtection="1">
      <alignment vertical="center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43" fontId="5" fillId="3" borderId="2" xfId="0" applyNumberFormat="1" applyFont="1" applyFill="1" applyBorder="1" applyAlignment="1" applyProtection="1">
      <alignment vertical="center"/>
      <protection hidden="1"/>
    </xf>
    <xf numFmtId="10" fontId="0" fillId="4" borderId="0" xfId="2" applyNumberFormat="1" applyFont="1" applyFill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68" fontId="0" fillId="3" borderId="0" xfId="2" applyNumberFormat="1" applyFont="1" applyFill="1" applyAlignment="1" applyProtection="1">
      <alignment vertical="center"/>
      <protection hidden="1"/>
    </xf>
    <xf numFmtId="43" fontId="0" fillId="3" borderId="0" xfId="1" applyNumberFormat="1" applyFont="1" applyFill="1" applyAlignment="1" applyProtection="1">
      <alignment vertical="center"/>
      <protection hidden="1"/>
    </xf>
    <xf numFmtId="43" fontId="5" fillId="3" borderId="10" xfId="0" applyNumberFormat="1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2" fillId="0" borderId="15" xfId="0" applyFont="1" applyBorder="1" applyAlignment="1" applyProtection="1">
      <alignment vertical="center"/>
      <protection hidden="1"/>
    </xf>
    <xf numFmtId="0" fontId="0" fillId="5" borderId="13" xfId="0" applyFill="1" applyBorder="1" applyAlignment="1" applyProtection="1">
      <alignment vertical="center"/>
      <protection hidden="1"/>
    </xf>
    <xf numFmtId="0" fontId="3" fillId="5" borderId="13" xfId="0" applyFont="1" applyFill="1" applyBorder="1" applyAlignment="1" applyProtection="1">
      <alignment vertical="center"/>
      <protection hidden="1"/>
    </xf>
    <xf numFmtId="0" fontId="0" fillId="5" borderId="0" xfId="0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9" fontId="0" fillId="5" borderId="0" xfId="2" applyNumberFormat="1" applyFont="1" applyFill="1" applyAlignment="1" applyProtection="1">
      <alignment vertical="center"/>
      <protection hidden="1"/>
    </xf>
    <xf numFmtId="9" fontId="0" fillId="5" borderId="0" xfId="2" applyFont="1" applyFill="1" applyAlignment="1" applyProtection="1">
      <alignment vertical="center"/>
      <protection hidden="1"/>
    </xf>
    <xf numFmtId="164" fontId="0" fillId="5" borderId="0" xfId="1" applyNumberFormat="1" applyFont="1" applyFill="1" applyAlignment="1" applyProtection="1">
      <alignment vertical="center"/>
      <protection hidden="1"/>
    </xf>
    <xf numFmtId="43" fontId="0" fillId="5" borderId="0" xfId="1" applyNumberFormat="1" applyFont="1" applyFill="1" applyAlignment="1" applyProtection="1">
      <alignment vertical="center"/>
      <protection hidden="1"/>
    </xf>
    <xf numFmtId="0" fontId="5" fillId="5" borderId="10" xfId="0" applyFont="1" applyFill="1" applyBorder="1" applyAlignment="1" applyProtection="1">
      <alignment vertical="center"/>
      <protection hidden="1"/>
    </xf>
    <xf numFmtId="43" fontId="5" fillId="5" borderId="10" xfId="1" applyFont="1" applyFill="1" applyBorder="1" applyAlignment="1" applyProtection="1">
      <alignment vertical="center"/>
      <protection hidden="1"/>
    </xf>
    <xf numFmtId="0" fontId="2" fillId="0" borderId="16" xfId="0" applyFont="1" applyBorder="1" applyAlignment="1" applyProtection="1">
      <alignment vertical="center"/>
      <protection hidden="1"/>
    </xf>
    <xf numFmtId="0" fontId="5" fillId="6" borderId="10" xfId="0" applyFont="1" applyFill="1" applyBorder="1" applyAlignment="1" applyProtection="1">
      <alignment vertical="center"/>
      <protection hidden="1"/>
    </xf>
    <xf numFmtId="43" fontId="5" fillId="6" borderId="10" xfId="1" applyNumberFormat="1" applyFont="1" applyFill="1" applyBorder="1" applyAlignment="1" applyProtection="1">
      <alignment horizontal="right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43" fontId="0" fillId="3" borderId="6" xfId="0" applyNumberFormat="1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43" fontId="0" fillId="3" borderId="0" xfId="0" applyNumberFormat="1" applyFill="1" applyBorder="1" applyAlignment="1" applyProtection="1">
      <alignment vertical="center"/>
      <protection hidden="1"/>
    </xf>
    <xf numFmtId="0" fontId="0" fillId="3" borderId="18" xfId="0" applyFill="1" applyBorder="1" applyAlignment="1" applyProtection="1">
      <alignment vertical="center"/>
      <protection hidden="1"/>
    </xf>
    <xf numFmtId="43" fontId="0" fillId="3" borderId="18" xfId="0" applyNumberFormat="1" applyFill="1" applyBorder="1" applyAlignment="1" applyProtection="1">
      <alignment vertical="center"/>
      <protection hidden="1"/>
    </xf>
    <xf numFmtId="0" fontId="0" fillId="5" borderId="19" xfId="0" applyFill="1" applyBorder="1" applyAlignment="1" applyProtection="1">
      <alignment vertical="center"/>
      <protection hidden="1"/>
    </xf>
    <xf numFmtId="43" fontId="0" fillId="5" borderId="19" xfId="1" applyFont="1" applyFill="1" applyBorder="1" applyAlignment="1" applyProtection="1">
      <alignment vertical="center"/>
      <protection hidden="1"/>
    </xf>
    <xf numFmtId="0" fontId="0" fillId="6" borderId="14" xfId="0" applyFill="1" applyBorder="1" applyAlignment="1" applyProtection="1">
      <alignment vertical="center"/>
      <protection hidden="1"/>
    </xf>
    <xf numFmtId="43" fontId="0" fillId="6" borderId="14" xfId="0" applyNumberFormat="1" applyFill="1" applyBorder="1" applyAlignment="1" applyProtection="1">
      <alignment vertical="center"/>
      <protection hidden="1"/>
    </xf>
    <xf numFmtId="0" fontId="5" fillId="2" borderId="20" xfId="0" applyFont="1" applyFill="1" applyBorder="1" applyAlignment="1" applyProtection="1">
      <alignment vertical="center"/>
      <protection hidden="1"/>
    </xf>
    <xf numFmtId="43" fontId="5" fillId="2" borderId="20" xfId="0" applyNumberFormat="1" applyFont="1" applyFill="1" applyBorder="1" applyAlignment="1" applyProtection="1">
      <alignment vertical="center"/>
      <protection hidden="1"/>
    </xf>
    <xf numFmtId="0" fontId="0" fillId="2" borderId="10" xfId="0" applyFill="1" applyBorder="1" applyAlignment="1" applyProtection="1">
      <alignment vertical="center"/>
      <protection hidden="1"/>
    </xf>
    <xf numFmtId="43" fontId="0" fillId="2" borderId="10" xfId="0" applyNumberFormat="1" applyFill="1" applyBorder="1" applyAlignment="1" applyProtection="1">
      <alignment vertical="center"/>
      <protection hidden="1"/>
    </xf>
    <xf numFmtId="0" fontId="4" fillId="0" borderId="1" xfId="0" applyFont="1" applyFill="1" applyBorder="1" applyAlignment="1" applyProtection="1">
      <alignment vertical="center" wrapText="1"/>
      <protection hidden="1"/>
    </xf>
    <xf numFmtId="0" fontId="4" fillId="0" borderId="3" xfId="0" applyFont="1" applyFill="1" applyBorder="1" applyAlignment="1" applyProtection="1">
      <alignment horizontal="left" vertical="center" wrapText="1"/>
      <protection hidden="1"/>
    </xf>
    <xf numFmtId="0" fontId="4" fillId="0" borderId="9" xfId="0" applyFont="1" applyFill="1" applyBorder="1" applyAlignment="1" applyProtection="1">
      <alignment textRotation="90" wrapText="1"/>
      <protection hidden="1"/>
    </xf>
    <xf numFmtId="0" fontId="4" fillId="0" borderId="10" xfId="0" applyFont="1" applyFill="1" applyBorder="1" applyAlignment="1" applyProtection="1">
      <alignment textRotation="90" wrapText="1"/>
      <protection hidden="1"/>
    </xf>
    <xf numFmtId="0" fontId="4" fillId="0" borderId="11" xfId="0" applyFont="1" applyFill="1" applyBorder="1" applyAlignment="1" applyProtection="1">
      <alignment textRotation="90" wrapText="1"/>
      <protection hidden="1"/>
    </xf>
    <xf numFmtId="0" fontId="4" fillId="0" borderId="21" xfId="0" applyFont="1" applyFill="1" applyBorder="1" applyAlignment="1" applyProtection="1">
      <alignment textRotation="90" wrapText="1"/>
      <protection hidden="1"/>
    </xf>
    <xf numFmtId="0" fontId="4" fillId="0" borderId="0" xfId="0" applyFont="1" applyFill="1" applyBorder="1" applyAlignment="1" applyProtection="1">
      <alignment wrapText="1"/>
      <protection hidden="1"/>
    </xf>
    <xf numFmtId="1" fontId="4" fillId="0" borderId="4" xfId="0" applyNumberFormat="1" applyFont="1" applyFill="1" applyBorder="1" applyAlignment="1" applyProtection="1">
      <alignment horizontal="center"/>
      <protection hidden="1"/>
    </xf>
    <xf numFmtId="1" fontId="4" fillId="0" borderId="7" xfId="0" applyNumberFormat="1" applyFont="1" applyFill="1" applyBorder="1" applyAlignment="1" applyProtection="1">
      <alignment horizontal="center"/>
      <protection hidden="1"/>
    </xf>
    <xf numFmtId="0" fontId="8" fillId="0" borderId="24" xfId="0" applyFont="1" applyBorder="1" applyAlignment="1" applyProtection="1">
      <alignment vertical="center"/>
      <protection locked="0" hidden="1"/>
    </xf>
    <xf numFmtId="169" fontId="0" fillId="0" borderId="0" xfId="0" applyNumberFormat="1" applyProtection="1">
      <protection hidden="1"/>
    </xf>
    <xf numFmtId="0" fontId="8" fillId="0" borderId="0" xfId="0" applyFont="1" applyAlignment="1" applyProtection="1">
      <alignment horizontal="left" vertical="center"/>
      <protection hidden="1"/>
    </xf>
    <xf numFmtId="43" fontId="6" fillId="0" borderId="10" xfId="0" applyNumberFormat="1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3" fontId="4" fillId="0" borderId="0" xfId="0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5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Protection="1">
      <protection hidden="1"/>
    </xf>
    <xf numFmtId="0" fontId="4" fillId="0" borderId="4" xfId="0" applyFont="1" applyFill="1" applyBorder="1" applyProtection="1">
      <protection hidden="1"/>
    </xf>
    <xf numFmtId="0" fontId="4" fillId="0" borderId="5" xfId="0" applyFont="1" applyFill="1" applyBorder="1" applyAlignment="1" applyProtection="1">
      <alignment horizontal="left"/>
      <protection hidden="1"/>
    </xf>
    <xf numFmtId="0" fontId="4" fillId="0" borderId="9" xfId="0" applyFont="1" applyFill="1" applyBorder="1" applyAlignment="1" applyProtection="1">
      <protection hidden="1"/>
    </xf>
    <xf numFmtId="0" fontId="4" fillId="0" borderId="10" xfId="0" applyFont="1" applyFill="1" applyBorder="1" applyAlignment="1" applyProtection="1">
      <protection hidden="1"/>
    </xf>
    <xf numFmtId="4" fontId="4" fillId="0" borderId="10" xfId="1" applyNumberFormat="1" applyFont="1" applyFill="1" applyBorder="1" applyProtection="1">
      <protection hidden="1"/>
    </xf>
    <xf numFmtId="0" fontId="4" fillId="0" borderId="11" xfId="0" applyFont="1" applyFill="1" applyBorder="1" applyAlignment="1" applyProtection="1">
      <protection hidden="1"/>
    </xf>
    <xf numFmtId="4" fontId="4" fillId="0" borderId="4" xfId="1" applyNumberFormat="1" applyFont="1" applyFill="1" applyBorder="1" applyProtection="1">
      <protection hidden="1"/>
    </xf>
    <xf numFmtId="4" fontId="4" fillId="0" borderId="6" xfId="1" applyNumberFormat="1" applyFont="1" applyFill="1" applyBorder="1" applyProtection="1">
      <protection hidden="1"/>
    </xf>
    <xf numFmtId="4" fontId="4" fillId="0" borderId="9" xfId="1" applyNumberFormat="1" applyFont="1" applyFill="1" applyBorder="1" applyProtection="1">
      <protection hidden="1"/>
    </xf>
    <xf numFmtId="0" fontId="4" fillId="0" borderId="11" xfId="0" applyFont="1" applyFill="1" applyBorder="1" applyProtection="1">
      <protection hidden="1"/>
    </xf>
    <xf numFmtId="4" fontId="4" fillId="0" borderId="10" xfId="1" applyNumberFormat="1" applyFont="1" applyFill="1" applyBorder="1" applyAlignment="1" applyProtection="1">
      <alignment horizontal="right" textRotation="90" wrapText="1"/>
      <protection hidden="1"/>
    </xf>
    <xf numFmtId="4" fontId="4" fillId="0" borderId="9" xfId="1" applyNumberFormat="1" applyFont="1" applyFill="1" applyBorder="1" applyAlignment="1" applyProtection="1">
      <alignment horizontal="right" textRotation="90" wrapText="1"/>
      <protection hidden="1"/>
    </xf>
    <xf numFmtId="4" fontId="4" fillId="0" borderId="21" xfId="1" applyNumberFormat="1" applyFont="1" applyFill="1" applyBorder="1" applyAlignment="1" applyProtection="1">
      <alignment horizontal="right" textRotation="90" wrapText="1"/>
      <protection hidden="1"/>
    </xf>
    <xf numFmtId="4" fontId="4" fillId="0" borderId="11" xfId="1" applyNumberFormat="1" applyFont="1" applyFill="1" applyBorder="1" applyAlignment="1" applyProtection="1">
      <alignment horizontal="right" textRotation="90" wrapText="1"/>
      <protection hidden="1"/>
    </xf>
    <xf numFmtId="0" fontId="4" fillId="0" borderId="5" xfId="0" applyFont="1" applyFill="1" applyBorder="1" applyAlignment="1" applyProtection="1">
      <alignment horizontal="left" wrapText="1"/>
      <protection hidden="1"/>
    </xf>
    <xf numFmtId="164" fontId="4" fillId="0" borderId="6" xfId="1" applyNumberFormat="1" applyFont="1" applyFill="1" applyBorder="1" applyProtection="1">
      <protection hidden="1"/>
    </xf>
    <xf numFmtId="3" fontId="4" fillId="0" borderId="6" xfId="0" applyNumberFormat="1" applyFont="1" applyFill="1" applyBorder="1" applyProtection="1">
      <protection hidden="1"/>
    </xf>
    <xf numFmtId="9" fontId="4" fillId="0" borderId="0" xfId="0" applyNumberFormat="1" applyFont="1" applyFill="1" applyBorder="1" applyProtection="1">
      <protection hidden="1"/>
    </xf>
    <xf numFmtId="3" fontId="4" fillId="0" borderId="4" xfId="0" applyNumberFormat="1" applyFont="1" applyFill="1" applyBorder="1" applyProtection="1">
      <protection hidden="1"/>
    </xf>
    <xf numFmtId="43" fontId="4" fillId="0" borderId="4" xfId="1" applyFont="1" applyFill="1" applyBorder="1" applyProtection="1">
      <protection hidden="1"/>
    </xf>
    <xf numFmtId="43" fontId="4" fillId="0" borderId="6" xfId="1" applyFont="1" applyFill="1" applyBorder="1" applyProtection="1">
      <protection hidden="1"/>
    </xf>
    <xf numFmtId="43" fontId="4" fillId="0" borderId="23" xfId="1" applyFont="1" applyFill="1" applyBorder="1" applyProtection="1">
      <protection hidden="1"/>
    </xf>
    <xf numFmtId="43" fontId="4" fillId="0" borderId="0" xfId="1" applyFont="1" applyFill="1" applyBorder="1" applyProtection="1">
      <protection hidden="1"/>
    </xf>
    <xf numFmtId="43" fontId="4" fillId="0" borderId="22" xfId="1" applyFont="1" applyFill="1" applyBorder="1" applyProtection="1">
      <protection hidden="1"/>
    </xf>
    <xf numFmtId="4" fontId="4" fillId="0" borderId="4" xfId="0" applyNumberFormat="1" applyFont="1" applyFill="1" applyBorder="1" applyProtection="1">
      <protection hidden="1"/>
    </xf>
    <xf numFmtId="4" fontId="4" fillId="0" borderId="6" xfId="0" applyNumberFormat="1" applyFont="1" applyFill="1" applyBorder="1" applyProtection="1">
      <protection hidden="1"/>
    </xf>
    <xf numFmtId="4" fontId="4" fillId="0" borderId="5" xfId="0" applyNumberFormat="1" applyFont="1" applyFill="1" applyBorder="1" applyProtection="1">
      <protection hidden="1"/>
    </xf>
    <xf numFmtId="166" fontId="4" fillId="0" borderId="4" xfId="2" applyNumberFormat="1" applyFont="1" applyFill="1" applyBorder="1" applyProtection="1">
      <protection hidden="1"/>
    </xf>
    <xf numFmtId="10" fontId="4" fillId="0" borderId="5" xfId="2" applyNumberFormat="1" applyFont="1" applyFill="1" applyBorder="1" applyProtection="1">
      <protection hidden="1"/>
    </xf>
    <xf numFmtId="166" fontId="4" fillId="0" borderId="6" xfId="2" applyNumberFormat="1" applyFont="1" applyFill="1" applyBorder="1" applyProtection="1">
      <protection hidden="1"/>
    </xf>
    <xf numFmtId="166" fontId="4" fillId="0" borderId="5" xfId="2" applyNumberFormat="1" applyFont="1" applyFill="1" applyBorder="1" applyProtection="1">
      <protection hidden="1"/>
    </xf>
    <xf numFmtId="0" fontId="4" fillId="0" borderId="8" xfId="0" applyFont="1" applyFill="1" applyBorder="1" applyAlignment="1" applyProtection="1">
      <alignment horizontal="left" wrapText="1"/>
      <protection hidden="1"/>
    </xf>
    <xf numFmtId="164" fontId="4" fillId="0" borderId="0" xfId="1" applyNumberFormat="1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3" fontId="4" fillId="0" borderId="7" xfId="0" applyNumberFormat="1" applyFont="1" applyFill="1" applyBorder="1" applyProtection="1">
      <protection hidden="1"/>
    </xf>
    <xf numFmtId="43" fontId="4" fillId="0" borderId="7" xfId="1" applyFont="1" applyFill="1" applyBorder="1" applyProtection="1">
      <protection hidden="1"/>
    </xf>
    <xf numFmtId="43" fontId="4" fillId="0" borderId="8" xfId="1" applyFont="1" applyFill="1" applyBorder="1" applyProtection="1">
      <protection hidden="1"/>
    </xf>
    <xf numFmtId="4" fontId="4" fillId="0" borderId="7" xfId="0" applyNumberFormat="1" applyFont="1" applyFill="1" applyBorder="1" applyProtection="1">
      <protection hidden="1"/>
    </xf>
    <xf numFmtId="4" fontId="4" fillId="0" borderId="0" xfId="0" applyNumberFormat="1" applyFont="1" applyFill="1" applyBorder="1" applyProtection="1">
      <protection hidden="1"/>
    </xf>
    <xf numFmtId="4" fontId="4" fillId="0" borderId="0" xfId="1" applyNumberFormat="1" applyFont="1" applyFill="1" applyBorder="1" applyProtection="1">
      <protection hidden="1"/>
    </xf>
    <xf numFmtId="4" fontId="4" fillId="0" borderId="8" xfId="0" applyNumberFormat="1" applyFont="1" applyFill="1" applyBorder="1" applyProtection="1">
      <protection hidden="1"/>
    </xf>
    <xf numFmtId="166" fontId="4" fillId="0" borderId="7" xfId="2" applyNumberFormat="1" applyFont="1" applyFill="1" applyBorder="1" applyProtection="1">
      <protection hidden="1"/>
    </xf>
    <xf numFmtId="10" fontId="4" fillId="0" borderId="8" xfId="2" applyNumberFormat="1" applyFont="1" applyFill="1" applyBorder="1" applyProtection="1">
      <protection hidden="1"/>
    </xf>
    <xf numFmtId="164" fontId="4" fillId="0" borderId="2" xfId="1" applyNumberFormat="1" applyFont="1" applyFill="1" applyBorder="1" applyProtection="1">
      <protection hidden="1"/>
    </xf>
    <xf numFmtId="0" fontId="6" fillId="0" borderId="9" xfId="0" applyFont="1" applyFill="1" applyBorder="1" applyProtection="1">
      <protection hidden="1"/>
    </xf>
    <xf numFmtId="0" fontId="6" fillId="0" borderId="11" xfId="0" applyFont="1" applyFill="1" applyBorder="1" applyAlignment="1" applyProtection="1">
      <alignment horizontal="left"/>
      <protection hidden="1"/>
    </xf>
    <xf numFmtId="0" fontId="6" fillId="0" borderId="10" xfId="0" applyFont="1" applyFill="1" applyBorder="1" applyProtection="1">
      <protection hidden="1"/>
    </xf>
    <xf numFmtId="164" fontId="6" fillId="0" borderId="10" xfId="0" applyNumberFormat="1" applyFont="1" applyFill="1" applyBorder="1" applyProtection="1">
      <protection hidden="1"/>
    </xf>
    <xf numFmtId="164" fontId="6" fillId="0" borderId="9" xfId="0" applyNumberFormat="1" applyFont="1" applyFill="1" applyBorder="1" applyProtection="1">
      <protection hidden="1"/>
    </xf>
    <xf numFmtId="164" fontId="6" fillId="0" borderId="11" xfId="0" applyNumberFormat="1" applyFont="1" applyFill="1" applyBorder="1" applyProtection="1">
      <protection hidden="1"/>
    </xf>
    <xf numFmtId="0" fontId="0" fillId="4" borderId="2" xfId="0" applyFill="1" applyBorder="1" applyAlignment="1" applyProtection="1">
      <alignment vertical="center"/>
      <protection hidden="1"/>
    </xf>
    <xf numFmtId="0" fontId="3" fillId="4" borderId="2" xfId="0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Protection="1">
      <protection hidden="1"/>
    </xf>
    <xf numFmtId="3" fontId="4" fillId="0" borderId="0" xfId="0" applyNumberFormat="1" applyFont="1" applyAlignment="1">
      <alignment vertical="top"/>
    </xf>
    <xf numFmtId="3" fontId="4" fillId="0" borderId="6" xfId="1" applyNumberFormat="1" applyFont="1" applyFill="1" applyBorder="1" applyProtection="1">
      <protection hidden="1"/>
    </xf>
    <xf numFmtId="3" fontId="4" fillId="0" borderId="5" xfId="1" applyNumberFormat="1" applyFont="1" applyFill="1" applyBorder="1" applyProtection="1">
      <protection hidden="1"/>
    </xf>
    <xf numFmtId="9" fontId="4" fillId="0" borderId="4" xfId="2" applyNumberFormat="1" applyFont="1" applyFill="1" applyBorder="1" applyProtection="1">
      <protection hidden="1"/>
    </xf>
    <xf numFmtId="9" fontId="4" fillId="0" borderId="6" xfId="0" applyNumberFormat="1" applyFont="1" applyFill="1" applyBorder="1" applyProtection="1">
      <protection hidden="1"/>
    </xf>
    <xf numFmtId="165" fontId="4" fillId="0" borderId="4" xfId="1" applyNumberFormat="1" applyFont="1" applyFill="1" applyBorder="1" applyProtection="1">
      <protection hidden="1"/>
    </xf>
    <xf numFmtId="165" fontId="4" fillId="0" borderId="6" xfId="1" applyNumberFormat="1" applyFont="1" applyFill="1" applyBorder="1" applyProtection="1">
      <protection hidden="1"/>
    </xf>
    <xf numFmtId="165" fontId="4" fillId="0" borderId="5" xfId="1" applyNumberFormat="1" applyFont="1" applyFill="1" applyBorder="1" applyProtection="1">
      <protection hidden="1"/>
    </xf>
    <xf numFmtId="166" fontId="4" fillId="0" borderId="22" xfId="2" applyNumberFormat="1" applyFont="1" applyFill="1" applyBorder="1" applyProtection="1">
      <protection hidden="1"/>
    </xf>
    <xf numFmtId="3" fontId="4" fillId="0" borderId="0" xfId="1" applyNumberFormat="1" applyFont="1" applyFill="1" applyBorder="1" applyProtection="1">
      <protection hidden="1"/>
    </xf>
    <xf numFmtId="3" fontId="4" fillId="0" borderId="8" xfId="1" applyNumberFormat="1" applyFont="1" applyFill="1" applyBorder="1" applyProtection="1">
      <protection hidden="1"/>
    </xf>
    <xf numFmtId="9" fontId="4" fillId="0" borderId="7" xfId="2" applyNumberFormat="1" applyFont="1" applyFill="1" applyBorder="1" applyProtection="1">
      <protection hidden="1"/>
    </xf>
    <xf numFmtId="165" fontId="4" fillId="0" borderId="7" xfId="1" applyNumberFormat="1" applyFont="1" applyFill="1" applyBorder="1" applyProtection="1">
      <protection hidden="1"/>
    </xf>
    <xf numFmtId="165" fontId="4" fillId="0" borderId="0" xfId="1" applyNumberFormat="1" applyFont="1" applyFill="1" applyBorder="1" applyProtection="1">
      <protection hidden="1"/>
    </xf>
    <xf numFmtId="165" fontId="4" fillId="0" borderId="8" xfId="1" applyNumberFormat="1" applyFont="1" applyFill="1" applyBorder="1" applyProtection="1">
      <protection hidden="1"/>
    </xf>
    <xf numFmtId="0" fontId="4" fillId="0" borderId="23" xfId="0" applyFont="1" applyFill="1" applyBorder="1" applyProtection="1">
      <protection hidden="1"/>
    </xf>
    <xf numFmtId="3" fontId="4" fillId="0" borderId="2" xfId="1" applyNumberFormat="1" applyFont="1" applyFill="1" applyBorder="1" applyProtection="1">
      <protection hidden="1"/>
    </xf>
    <xf numFmtId="3" fontId="4" fillId="0" borderId="3" xfId="1" applyNumberFormat="1" applyFont="1" applyFill="1" applyBorder="1" applyProtection="1">
      <protection hidden="1"/>
    </xf>
    <xf numFmtId="165" fontId="4" fillId="0" borderId="2" xfId="1" applyNumberFormat="1" applyFont="1" applyFill="1" applyBorder="1" applyProtection="1">
      <protection hidden="1"/>
    </xf>
    <xf numFmtId="165" fontId="4" fillId="0" borderId="3" xfId="1" applyNumberFormat="1" applyFont="1" applyFill="1" applyBorder="1" applyProtection="1">
      <protection hidden="1"/>
    </xf>
    <xf numFmtId="3" fontId="6" fillId="0" borderId="9" xfId="1" applyNumberFormat="1" applyFont="1" applyFill="1" applyBorder="1" applyProtection="1">
      <protection hidden="1"/>
    </xf>
    <xf numFmtId="3" fontId="6" fillId="0" borderId="10" xfId="1" applyNumberFormat="1" applyFont="1" applyFill="1" applyBorder="1" applyProtection="1">
      <protection hidden="1"/>
    </xf>
    <xf numFmtId="3" fontId="6" fillId="0" borderId="10" xfId="0" applyNumberFormat="1" applyFont="1" applyFill="1" applyBorder="1" applyProtection="1">
      <protection hidden="1"/>
    </xf>
    <xf numFmtId="4" fontId="6" fillId="0" borderId="9" xfId="0" applyNumberFormat="1" applyFont="1" applyFill="1" applyBorder="1" applyProtection="1">
      <protection hidden="1"/>
    </xf>
    <xf numFmtId="4" fontId="6" fillId="0" borderId="10" xfId="0" applyNumberFormat="1" applyFont="1" applyFill="1" applyBorder="1" applyProtection="1">
      <protection hidden="1"/>
    </xf>
    <xf numFmtId="3" fontId="6" fillId="0" borderId="9" xfId="0" applyNumberFormat="1" applyFont="1" applyFill="1" applyBorder="1" applyProtection="1">
      <protection hidden="1"/>
    </xf>
    <xf numFmtId="4" fontId="6" fillId="0" borderId="11" xfId="0" applyNumberFormat="1" applyFont="1" applyFill="1" applyBorder="1" applyProtection="1">
      <protection hidden="1"/>
    </xf>
    <xf numFmtId="4" fontId="6" fillId="0" borderId="21" xfId="0" applyNumberFormat="1" applyFont="1" applyFill="1" applyBorder="1" applyProtection="1">
      <protection hidden="1"/>
    </xf>
    <xf numFmtId="0" fontId="6" fillId="0" borderId="21" xfId="0" applyFont="1" applyFill="1" applyBorder="1" applyProtection="1"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164" fontId="4" fillId="0" borderId="0" xfId="0" applyNumberFormat="1" applyFont="1" applyFill="1" applyBorder="1" applyAlignment="1" applyProtection="1">
      <alignment horizontal="left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vertical="center" wrapText="1"/>
      <protection hidden="1"/>
    </xf>
    <xf numFmtId="0" fontId="3" fillId="3" borderId="18" xfId="0" applyFont="1" applyFill="1" applyBorder="1" applyAlignment="1" applyProtection="1">
      <alignment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3" fillId="4" borderId="0" xfId="0" applyFont="1" applyFill="1" applyBorder="1" applyAlignment="1" applyProtection="1">
      <alignment vertical="center"/>
      <protection hidden="1"/>
    </xf>
    <xf numFmtId="164" fontId="0" fillId="4" borderId="0" xfId="1" applyNumberFormat="1" applyFont="1" applyFill="1" applyBorder="1" applyAlignment="1" applyProtection="1">
      <alignment vertical="center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3" borderId="14" xfId="0" applyFill="1" applyBorder="1" applyAlignment="1" applyProtection="1">
      <alignment vertical="center"/>
      <protection hidden="1"/>
    </xf>
    <xf numFmtId="0" fontId="0" fillId="4" borderId="19" xfId="0" applyFill="1" applyBorder="1" applyAlignment="1" applyProtection="1">
      <alignment vertical="center"/>
      <protection hidden="1"/>
    </xf>
    <xf numFmtId="0" fontId="3" fillId="4" borderId="19" xfId="0" applyFont="1" applyFill="1" applyBorder="1" applyAlignment="1" applyProtection="1">
      <alignment vertical="center"/>
      <protection hidden="1"/>
    </xf>
    <xf numFmtId="0" fontId="0" fillId="4" borderId="18" xfId="0" applyFill="1" applyBorder="1" applyAlignment="1" applyProtection="1">
      <alignment vertical="center"/>
      <protection hidden="1"/>
    </xf>
    <xf numFmtId="0" fontId="3" fillId="4" borderId="18" xfId="0" applyFont="1" applyFill="1" applyBorder="1" applyAlignment="1" applyProtection="1">
      <alignment vertical="center"/>
      <protection hidden="1"/>
    </xf>
    <xf numFmtId="4" fontId="4" fillId="0" borderId="11" xfId="1" applyNumberFormat="1" applyFont="1" applyFill="1" applyBorder="1" applyProtection="1">
      <protection hidden="1"/>
    </xf>
    <xf numFmtId="4" fontId="4" fillId="0" borderId="10" xfId="1" applyNumberFormat="1" applyFont="1" applyFill="1" applyBorder="1" applyAlignment="1" applyProtection="1">
      <alignment horizontal="center" textRotation="90" wrapText="1"/>
      <protection hidden="1"/>
    </xf>
    <xf numFmtId="4" fontId="4" fillId="0" borderId="11" xfId="1" applyNumberFormat="1" applyFont="1" applyFill="1" applyBorder="1" applyAlignment="1" applyProtection="1">
      <alignment horizontal="center" textRotation="90" wrapText="1"/>
      <protection hidden="1"/>
    </xf>
    <xf numFmtId="170" fontId="4" fillId="0" borderId="6" xfId="0" applyNumberFormat="1" applyFont="1" applyFill="1" applyBorder="1" applyProtection="1">
      <protection hidden="1"/>
    </xf>
    <xf numFmtId="170" fontId="4" fillId="0" borderId="0" xfId="0" applyNumberFormat="1" applyFont="1" applyFill="1" applyBorder="1" applyProtection="1">
      <protection hidden="1"/>
    </xf>
    <xf numFmtId="166" fontId="4" fillId="0" borderId="8" xfId="2" applyNumberFormat="1" applyFont="1" applyFill="1" applyBorder="1" applyProtection="1">
      <protection hidden="1"/>
    </xf>
    <xf numFmtId="166" fontId="4" fillId="0" borderId="0" xfId="2" applyNumberFormat="1" applyFont="1" applyFill="1" applyBorder="1" applyProtection="1">
      <protection hidden="1"/>
    </xf>
    <xf numFmtId="166" fontId="4" fillId="0" borderId="1" xfId="2" applyNumberFormat="1" applyFont="1" applyFill="1" applyBorder="1" applyProtection="1">
      <protection hidden="1"/>
    </xf>
    <xf numFmtId="166" fontId="4" fillId="0" borderId="2" xfId="2" applyNumberFormat="1" applyFont="1" applyFill="1" applyBorder="1" applyProtection="1">
      <protection hidden="1"/>
    </xf>
    <xf numFmtId="4" fontId="6" fillId="0" borderId="10" xfId="1" applyNumberFormat="1" applyFont="1" applyFill="1" applyBorder="1" applyProtection="1">
      <protection hidden="1"/>
    </xf>
    <xf numFmtId="4" fontId="6" fillId="0" borderId="11" xfId="1" applyNumberFormat="1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171" fontId="4" fillId="0" borderId="4" xfId="0" applyNumberFormat="1" applyFont="1" applyFill="1" applyBorder="1" applyProtection="1">
      <protection hidden="1"/>
    </xf>
    <xf numFmtId="171" fontId="4" fillId="0" borderId="6" xfId="0" applyNumberFormat="1" applyFont="1" applyFill="1" applyBorder="1" applyProtection="1">
      <protection hidden="1"/>
    </xf>
    <xf numFmtId="171" fontId="4" fillId="0" borderId="7" xfId="0" applyNumberFormat="1" applyFont="1" applyFill="1" applyBorder="1" applyProtection="1">
      <protection hidden="1"/>
    </xf>
    <xf numFmtId="171" fontId="4" fillId="0" borderId="0" xfId="0" applyNumberFormat="1" applyFont="1" applyFill="1" applyBorder="1" applyProtection="1">
      <protection hidden="1"/>
    </xf>
    <xf numFmtId="171" fontId="4" fillId="0" borderId="2" xfId="0" applyNumberFormat="1" applyFont="1" applyFill="1" applyBorder="1" applyProtection="1">
      <protection hidden="1"/>
    </xf>
    <xf numFmtId="2" fontId="0" fillId="3" borderId="0" xfId="0" applyNumberFormat="1" applyFill="1" applyBorder="1" applyAlignment="1" applyProtection="1">
      <alignment vertical="center"/>
      <protection hidden="1"/>
    </xf>
    <xf numFmtId="3" fontId="0" fillId="3" borderId="0" xfId="0" applyNumberFormat="1" applyFill="1" applyBorder="1" applyAlignment="1" applyProtection="1">
      <alignment vertical="center"/>
      <protection hidden="1"/>
    </xf>
    <xf numFmtId="0" fontId="4" fillId="0" borderId="5" xfId="0" applyFont="1" applyBorder="1" applyAlignment="1">
      <alignment horizontal="center" textRotation="90"/>
    </xf>
    <xf numFmtId="166" fontId="0" fillId="3" borderId="0" xfId="2" applyNumberFormat="1" applyFont="1" applyFill="1" applyBorder="1" applyAlignment="1" applyProtection="1">
      <alignment vertical="center"/>
      <protection hidden="1"/>
    </xf>
    <xf numFmtId="166" fontId="0" fillId="4" borderId="0" xfId="2" applyNumberFormat="1" applyFont="1" applyFill="1" applyAlignment="1" applyProtection="1">
      <alignment vertical="center"/>
      <protection hidden="1"/>
    </xf>
    <xf numFmtId="43" fontId="0" fillId="3" borderId="0" xfId="0" applyNumberFormat="1" applyFill="1" applyAlignment="1" applyProtection="1">
      <alignment vertical="center"/>
      <protection hidden="1"/>
    </xf>
    <xf numFmtId="172" fontId="0" fillId="4" borderId="18" xfId="0" applyNumberFormat="1" applyFill="1" applyBorder="1" applyAlignment="1" applyProtection="1">
      <alignment vertical="center"/>
      <protection hidden="1"/>
    </xf>
    <xf numFmtId="0" fontId="0" fillId="7" borderId="0" xfId="0" applyFill="1" applyProtection="1">
      <protection hidden="1"/>
    </xf>
    <xf numFmtId="166" fontId="6" fillId="0" borderId="9" xfId="2" applyNumberFormat="1" applyFont="1" applyFill="1" applyBorder="1" applyProtection="1">
      <protection hidden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125</xdr:row>
      <xdr:rowOff>9525</xdr:rowOff>
    </xdr:from>
    <xdr:ext cx="1403654" cy="264560"/>
    <xdr:sp macro="" textlink="">
      <xdr:nvSpPr>
        <xdr:cNvPr id="2" name="Textfeld 1"/>
        <xdr:cNvSpPr txBox="1"/>
      </xdr:nvSpPr>
      <xdr:spPr>
        <a:xfrm>
          <a:off x="12239625" y="22631400"/>
          <a:ext cx="1403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de-CH" sz="1100"/>
            <a:t>Noch nicht festgelegt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0"/>
  <sheetViews>
    <sheetView tabSelected="1" zoomScaleNormal="100" workbookViewId="0">
      <selection activeCell="C5" sqref="C5"/>
    </sheetView>
  </sheetViews>
  <sheetFormatPr baseColWidth="10" defaultColWidth="0" defaultRowHeight="12.75" zeroHeight="1" x14ac:dyDescent="0.2"/>
  <cols>
    <col min="1" max="1" width="1.85546875" style="6" customWidth="1"/>
    <col min="2" max="2" width="115.42578125" style="6" customWidth="1"/>
    <col min="3" max="3" width="65.140625" style="6" bestFit="1" customWidth="1"/>
    <col min="4" max="4" width="5.42578125" style="6" customWidth="1"/>
    <col min="5" max="5" width="16.140625" style="6" customWidth="1"/>
    <col min="6" max="6" width="1.85546875" style="6" customWidth="1"/>
    <col min="7" max="16384" width="11.42578125" style="6" hidden="1"/>
  </cols>
  <sheetData>
    <row r="1" spans="1:19" s="1" customFormat="1" ht="15" x14ac:dyDescent="0.2">
      <c r="B1" s="2" t="s">
        <v>94</v>
      </c>
      <c r="C1" s="2"/>
      <c r="D1" s="2"/>
    </row>
    <row r="2" spans="1:19" s="1" customFormat="1" ht="27.75" customHeight="1" x14ac:dyDescent="0.2">
      <c r="B2" s="4" t="s">
        <v>95</v>
      </c>
      <c r="C2" s="4"/>
      <c r="D2" s="4"/>
    </row>
    <row r="3" spans="1:19" s="1" customFormat="1" ht="35.25" customHeight="1" x14ac:dyDescent="0.2">
      <c r="B3" s="5" t="str">
        <f>CONCATENATE("Definitive Finanzausgleichsbeiträge ",$C$7)</f>
        <v>Definitive Finanzausgleichsbeiträge 2017</v>
      </c>
      <c r="C3" s="5"/>
      <c r="D3" s="5"/>
    </row>
    <row r="4" spans="1:19" s="1" customFormat="1" x14ac:dyDescent="0.2"/>
    <row r="5" spans="1:19" s="1" customFormat="1" ht="15.75" x14ac:dyDescent="0.2">
      <c r="B5" s="4" t="s">
        <v>96</v>
      </c>
      <c r="C5" s="92"/>
      <c r="S5" s="3"/>
    </row>
    <row r="6" spans="1:19" s="1" customFormat="1" x14ac:dyDescent="0.2">
      <c r="B6" s="4"/>
      <c r="S6" s="3"/>
    </row>
    <row r="7" spans="1:19" s="1" customFormat="1" ht="15.75" x14ac:dyDescent="0.2">
      <c r="B7" s="4" t="s">
        <v>97</v>
      </c>
      <c r="C7" s="94">
        <v>2017</v>
      </c>
      <c r="S7" s="3"/>
    </row>
    <row r="8" spans="1:19" ht="15" customHeight="1" thickBot="1" x14ac:dyDescent="0.25">
      <c r="G8" s="93"/>
    </row>
    <row r="9" spans="1:19" s="2" customFormat="1" ht="22.5" customHeight="1" thickBot="1" x14ac:dyDescent="0.25">
      <c r="A9" s="69"/>
      <c r="B9" s="69" t="s">
        <v>262</v>
      </c>
      <c r="C9" s="69"/>
      <c r="D9" s="69"/>
      <c r="E9" s="69"/>
      <c r="F9" s="69"/>
    </row>
    <row r="10" spans="1:19" ht="5.25" customHeight="1" x14ac:dyDescent="0.2"/>
    <row r="11" spans="1:19" s="1" customFormat="1" ht="17.25" customHeight="1" x14ac:dyDescent="0.2">
      <c r="A11" s="12"/>
      <c r="B11" s="12" t="s">
        <v>135</v>
      </c>
      <c r="C11" s="12"/>
      <c r="D11" s="12" t="s">
        <v>105</v>
      </c>
      <c r="E11" s="70" t="e">
        <f>E30</f>
        <v>#N/A</v>
      </c>
      <c r="F11" s="12"/>
    </row>
    <row r="12" spans="1:19" s="1" customFormat="1" ht="17.25" customHeight="1" x14ac:dyDescent="0.2">
      <c r="A12" s="71"/>
      <c r="B12" s="71" t="s">
        <v>136</v>
      </c>
      <c r="C12" s="71"/>
      <c r="D12" s="71" t="s">
        <v>105</v>
      </c>
      <c r="E12" s="72" t="e">
        <f>E48</f>
        <v>#N/A</v>
      </c>
      <c r="F12" s="71"/>
    </row>
    <row r="13" spans="1:19" s="1" customFormat="1" ht="17.25" customHeight="1" x14ac:dyDescent="0.2">
      <c r="A13" s="71"/>
      <c r="B13" s="71" t="s">
        <v>137</v>
      </c>
      <c r="C13" s="71"/>
      <c r="D13" s="71" t="s">
        <v>105</v>
      </c>
      <c r="E13" s="72" t="e">
        <f>E111</f>
        <v>#N/A</v>
      </c>
      <c r="F13" s="71"/>
    </row>
    <row r="14" spans="1:19" s="1" customFormat="1" ht="17.25" customHeight="1" x14ac:dyDescent="0.2">
      <c r="A14" s="71"/>
      <c r="B14" s="71" t="s">
        <v>138</v>
      </c>
      <c r="C14" s="71"/>
      <c r="D14" s="71" t="s">
        <v>105</v>
      </c>
      <c r="E14" s="72" t="e">
        <f>E83</f>
        <v>#N/A</v>
      </c>
      <c r="F14" s="71"/>
    </row>
    <row r="15" spans="1:19" s="1" customFormat="1" ht="17.25" customHeight="1" x14ac:dyDescent="0.2">
      <c r="A15" s="73"/>
      <c r="B15" s="73" t="s">
        <v>139</v>
      </c>
      <c r="C15" s="73"/>
      <c r="D15" s="73" t="s">
        <v>105</v>
      </c>
      <c r="E15" s="74">
        <f>E117</f>
        <v>0</v>
      </c>
      <c r="F15" s="73"/>
    </row>
    <row r="16" spans="1:19" s="1" customFormat="1" ht="17.25" customHeight="1" x14ac:dyDescent="0.2">
      <c r="A16" s="75"/>
      <c r="B16" s="75" t="s">
        <v>140</v>
      </c>
      <c r="C16" s="75"/>
      <c r="D16" s="75" t="s">
        <v>105</v>
      </c>
      <c r="E16" s="76" t="e">
        <f>E126</f>
        <v>#N/A</v>
      </c>
      <c r="F16" s="75"/>
    </row>
    <row r="17" spans="1:6" s="1" customFormat="1" ht="17.25" customHeight="1" x14ac:dyDescent="0.2">
      <c r="A17" s="77"/>
      <c r="B17" s="77" t="s">
        <v>141</v>
      </c>
      <c r="C17" s="77"/>
      <c r="D17" s="77" t="s">
        <v>105</v>
      </c>
      <c r="E17" s="78" t="e">
        <f>E130</f>
        <v>#N/A</v>
      </c>
      <c r="F17" s="77"/>
    </row>
    <row r="18" spans="1:6" s="4" customFormat="1" ht="22.5" customHeight="1" x14ac:dyDescent="0.2">
      <c r="A18" s="79"/>
      <c r="B18" s="79" t="s">
        <v>263</v>
      </c>
      <c r="C18" s="79"/>
      <c r="D18" s="79" t="s">
        <v>105</v>
      </c>
      <c r="E18" s="80" t="e">
        <f>SUM(E11:E17)</f>
        <v>#N/A</v>
      </c>
      <c r="F18" s="79"/>
    </row>
    <row r="19" spans="1:6" s="1" customFormat="1" ht="17.25" customHeight="1" x14ac:dyDescent="0.2">
      <c r="A19" s="81"/>
      <c r="B19" s="81" t="s">
        <v>142</v>
      </c>
      <c r="C19" s="81"/>
      <c r="D19" s="81" t="s">
        <v>105</v>
      </c>
      <c r="E19" s="82" t="e">
        <f>E18/VLOOKUP($C$5,Basis!$B$5:$BL$81,14,FALSE)</f>
        <v>#N/A</v>
      </c>
      <c r="F19" s="81"/>
    </row>
    <row r="20" spans="1:6" ht="23.25" customHeight="1" thickBot="1" x14ac:dyDescent="0.25"/>
    <row r="21" spans="1:6" s="9" customFormat="1" ht="22.5" customHeight="1" thickBot="1" x14ac:dyDescent="0.25">
      <c r="A21" s="7"/>
      <c r="B21" s="8" t="s">
        <v>98</v>
      </c>
      <c r="C21" s="7"/>
      <c r="D21" s="7"/>
      <c r="E21" s="7"/>
      <c r="F21" s="7"/>
    </row>
    <row r="22" spans="1:6" ht="5.25" customHeight="1" x14ac:dyDescent="0.25">
      <c r="A22" s="10"/>
      <c r="B22" s="11"/>
      <c r="C22" s="10"/>
      <c r="D22" s="10"/>
      <c r="E22" s="10"/>
      <c r="F22" s="10"/>
    </row>
    <row r="23" spans="1:6" s="1" customFormat="1" ht="22.5" customHeight="1" x14ac:dyDescent="0.2">
      <c r="A23" s="12"/>
      <c r="B23" s="13" t="s">
        <v>99</v>
      </c>
      <c r="C23" s="14"/>
      <c r="D23" s="14"/>
      <c r="E23" s="12"/>
      <c r="F23" s="12"/>
    </row>
    <row r="24" spans="1:6" s="1" customFormat="1" ht="22.5" customHeight="1" x14ac:dyDescent="0.2">
      <c r="A24" s="15"/>
      <c r="B24" s="16" t="str">
        <f>CONCATENATE("Politische Gemeinde ",$C$5," ",$C$7,"; Definitive Daten")</f>
        <v>Politische Gemeinde  2017; Definitive Daten</v>
      </c>
      <c r="C24" s="15"/>
      <c r="D24" s="15"/>
      <c r="E24" s="15"/>
      <c r="F24" s="15"/>
    </row>
    <row r="25" spans="1:6" s="1" customFormat="1" ht="34.5" customHeight="1" x14ac:dyDescent="0.2">
      <c r="A25" s="17"/>
      <c r="B25" s="18" t="s">
        <v>100</v>
      </c>
      <c r="C25" s="19" t="s">
        <v>174</v>
      </c>
      <c r="D25" s="19"/>
      <c r="E25" s="17"/>
      <c r="F25" s="17"/>
    </row>
    <row r="26" spans="1:6" ht="17.25" customHeight="1" x14ac:dyDescent="0.2">
      <c r="A26" s="20"/>
      <c r="B26" s="21" t="s">
        <v>101</v>
      </c>
      <c r="C26" s="21" t="s">
        <v>102</v>
      </c>
      <c r="D26" s="21" t="s">
        <v>103</v>
      </c>
      <c r="E26" s="22" t="e">
        <f>VLOOKUP($C$5,Basis!$B$5:$BL$81,47,FALSE)</f>
        <v>#N/A</v>
      </c>
      <c r="F26" s="20"/>
    </row>
    <row r="27" spans="1:6" ht="17.25" customHeight="1" x14ac:dyDescent="0.3">
      <c r="A27" s="23"/>
      <c r="B27" s="21" t="str">
        <f>CONCATENATE("Kantonaler Durchschnitt der technischen Steuerkraft der Jahre ",$C$7-3," und ",$C$7-2)</f>
        <v>Kantonaler Durchschnitt der technischen Steuerkraft der Jahre 2014 und 2015</v>
      </c>
      <c r="C27" s="21" t="s">
        <v>104</v>
      </c>
      <c r="D27" s="21" t="s">
        <v>105</v>
      </c>
      <c r="E27" s="24" t="e">
        <f>VLOOKUP($C$5,Basis!$B$5:$BL$81,46,FALSE)</f>
        <v>#N/A</v>
      </c>
      <c r="F27" s="23"/>
    </row>
    <row r="28" spans="1:6" ht="17.25" customHeight="1" x14ac:dyDescent="0.3">
      <c r="A28" s="23"/>
      <c r="B28" s="21" t="str">
        <f>CONCATENATE("Durchschnitt der technischen Steuerkraft der Gemeinde ",$C$5," in den Jahren ",$C$7-3," und ",$C$7-2)</f>
        <v>Durchschnitt der technischen Steuerkraft der Gemeinde  in den Jahren 2014 und 2015</v>
      </c>
      <c r="C28" s="21" t="s">
        <v>106</v>
      </c>
      <c r="D28" s="21" t="s">
        <v>105</v>
      </c>
      <c r="E28" s="24" t="e">
        <f>VLOOKUP($C$5,Basis!$B$5:$BL$81,45,FALSE)</f>
        <v>#N/A</v>
      </c>
      <c r="F28" s="23"/>
    </row>
    <row r="29" spans="1:6" ht="17.25" customHeight="1" x14ac:dyDescent="0.3">
      <c r="A29" s="23"/>
      <c r="B29" s="21" t="str">
        <f>CONCATENATE("Einwohnerzahl der Gemeinde ",$C$5," Ende ",$C$7-3)</f>
        <v>Einwohnerzahl der Gemeinde  Ende 2014</v>
      </c>
      <c r="C29" s="21" t="s">
        <v>107</v>
      </c>
      <c r="D29" s="21" t="s">
        <v>108</v>
      </c>
      <c r="E29" s="25" t="e">
        <f>VLOOKUP($C$5,Basis!$B$5:$BL$81,13,FALSE)</f>
        <v>#N/A</v>
      </c>
      <c r="F29" s="23"/>
    </row>
    <row r="30" spans="1:6" s="1" customFormat="1" ht="22.5" customHeight="1" x14ac:dyDescent="0.2">
      <c r="A30" s="26"/>
      <c r="B30" s="27" t="str">
        <f>CONCATENATE("Definitiver Beitrag an die Gemeinde ",$C$5," aus dem Ressourcenausgleich ",$C$7)</f>
        <v>Definitiver Beitrag an die Gemeinde  aus dem Ressourcenausgleich 2017</v>
      </c>
      <c r="C30" s="26" t="s">
        <v>109</v>
      </c>
      <c r="D30" s="26" t="s">
        <v>105</v>
      </c>
      <c r="E30" s="28" t="e">
        <f>IF(E28&lt;E26*E27,ROUND((E26*E27-E28)*E29,-2),0)</f>
        <v>#N/A</v>
      </c>
      <c r="F30" s="26"/>
    </row>
    <row r="31" spans="1:6" ht="5.25" customHeight="1" x14ac:dyDescent="0.2">
      <c r="A31" s="223"/>
      <c r="B31" s="223"/>
      <c r="C31" s="223"/>
      <c r="D31" s="223"/>
      <c r="E31" s="223"/>
      <c r="F31" s="223"/>
    </row>
    <row r="32" spans="1:6" s="4" customFormat="1" ht="22.5" customHeight="1" x14ac:dyDescent="0.2">
      <c r="A32" s="13"/>
      <c r="B32" s="13" t="s">
        <v>110</v>
      </c>
      <c r="C32" s="13"/>
      <c r="D32" s="13"/>
      <c r="E32" s="13"/>
      <c r="F32" s="13"/>
    </row>
    <row r="33" spans="1:6" s="4" customFormat="1" ht="22.5" customHeight="1" x14ac:dyDescent="0.2">
      <c r="A33" s="16"/>
      <c r="B33" s="16" t="str">
        <f>CONCATENATE("Politische Gemeinde ",$C$5," ",$C$7,"; Definitive Daten")</f>
        <v>Politische Gemeinde  2017; Definitive Daten</v>
      </c>
      <c r="C33" s="16"/>
      <c r="D33" s="16"/>
      <c r="E33" s="16"/>
      <c r="F33" s="16"/>
    </row>
    <row r="34" spans="1:6" s="50" customFormat="1" ht="22.5" customHeight="1" x14ac:dyDescent="0.2">
      <c r="A34" s="12"/>
      <c r="B34" s="14" t="s">
        <v>191</v>
      </c>
      <c r="C34" s="14" t="s">
        <v>175</v>
      </c>
      <c r="D34" s="12"/>
      <c r="E34" s="12"/>
      <c r="F34" s="12"/>
    </row>
    <row r="35" spans="1:6" s="1" customFormat="1" ht="22.5" customHeight="1" x14ac:dyDescent="0.2">
      <c r="A35" s="71"/>
      <c r="B35" s="186" t="s">
        <v>190</v>
      </c>
      <c r="C35" s="186" t="s">
        <v>178</v>
      </c>
      <c r="D35" s="71"/>
      <c r="E35" s="71"/>
      <c r="F35" s="71"/>
    </row>
    <row r="36" spans="1:6" s="1" customFormat="1" ht="22.5" customHeight="1" x14ac:dyDescent="0.2">
      <c r="A36" s="73"/>
      <c r="B36" s="188" t="s">
        <v>177</v>
      </c>
      <c r="C36" s="188" t="s">
        <v>179</v>
      </c>
      <c r="D36" s="73"/>
      <c r="E36" s="73"/>
      <c r="F36" s="73"/>
    </row>
    <row r="37" spans="1:6" s="1" customFormat="1" ht="22.5" customHeight="1" x14ac:dyDescent="0.2">
      <c r="A37" s="71"/>
      <c r="B37" s="186" t="str">
        <f>CONCATENATE("Standardisierter Indikator der gewichteten Strassenlänge je Einwohner/in der Gemeinde ",C5," per Ende ",C7-2)</f>
        <v>Standardisierter Indikator der gewichteten Strassenlänge je Einwohner/in der Gemeinde  per Ende 2015</v>
      </c>
      <c r="C37" s="186" t="s">
        <v>180</v>
      </c>
      <c r="D37" s="71" t="s">
        <v>120</v>
      </c>
      <c r="E37" s="71" t="e">
        <f>VLOOKUP($C$5,Basis!$B$5:$BL$81,49,FALSE)</f>
        <v>#N/A</v>
      </c>
      <c r="F37" s="71"/>
    </row>
    <row r="38" spans="1:6" s="1" customFormat="1" ht="22.5" customHeight="1" x14ac:dyDescent="0.2">
      <c r="A38" s="71"/>
      <c r="B38" s="187" t="str">
        <f>CONCATENATE("Standardisierter Indikator des Anteils der Einwohner/innen mit Wohnsitz über 800 Meter über Meer der Gemeinde ",C5," per Ende ",C7-2)</f>
        <v>Standardisierter Indikator des Anteils der Einwohner/innen mit Wohnsitz über 800 Meter über Meer der Gemeinde  per Ende 2015</v>
      </c>
      <c r="C38" s="186" t="s">
        <v>181</v>
      </c>
      <c r="D38" s="71" t="s">
        <v>120</v>
      </c>
      <c r="E38" s="71" t="e">
        <f>VLOOKUP($C$5,Basis!$B$5:$BL$81,50,FALSE)</f>
        <v>#N/A</v>
      </c>
      <c r="F38" s="71"/>
    </row>
    <row r="39" spans="1:6" s="1" customFormat="1" ht="22.5" customHeight="1" x14ac:dyDescent="0.2">
      <c r="A39" s="71"/>
      <c r="B39" s="186" t="s">
        <v>183</v>
      </c>
      <c r="C39" s="186" t="s">
        <v>184</v>
      </c>
      <c r="D39" s="71" t="s">
        <v>120</v>
      </c>
      <c r="E39" s="71" t="e">
        <f>VLOOKUP($C$5,Basis!$B$5:$BL$81,51,FALSE)</f>
        <v>#N/A</v>
      </c>
      <c r="F39" s="71"/>
    </row>
    <row r="40" spans="1:6" s="1" customFormat="1" ht="22.5" customHeight="1" x14ac:dyDescent="0.2">
      <c r="A40" s="71"/>
      <c r="B40" s="186" t="str">
        <f>CONCATENATE("Standardisierter Indikator der Gemeindefläche je Einwohner/in der Gemeinde ",C5," per Ende ",C7-2)</f>
        <v>Standardisierter Indikator der Gemeindefläche je Einwohner/in der Gemeinde  per Ende 2015</v>
      </c>
      <c r="C40" s="186" t="s">
        <v>182</v>
      </c>
      <c r="D40" s="71" t="s">
        <v>120</v>
      </c>
      <c r="E40" s="71" t="e">
        <f>VLOOKUP($C$5,Basis!$B$5:$BL$81,52,FALSE)</f>
        <v>#N/A</v>
      </c>
      <c r="F40" s="71"/>
    </row>
    <row r="41" spans="1:6" s="1" customFormat="1" ht="22.5" customHeight="1" x14ac:dyDescent="0.2">
      <c r="A41" s="71"/>
      <c r="B41" s="186" t="str">
        <f>CONCATENATE("Summe der gewichteten Indikatoren der Gemeinde ",C5," per Ende ",C7-2)</f>
        <v>Summe der gewichteten Indikatoren der Gemeinde  per Ende 2015</v>
      </c>
      <c r="C41" s="186" t="s">
        <v>185</v>
      </c>
      <c r="D41" s="71" t="s">
        <v>120</v>
      </c>
      <c r="E41" s="71" t="e">
        <f>E37+E38+E39+E40</f>
        <v>#N/A</v>
      </c>
      <c r="F41" s="71"/>
    </row>
    <row r="42" spans="1:6" s="1" customFormat="1" ht="22.5" customHeight="1" x14ac:dyDescent="0.2">
      <c r="A42" s="71"/>
      <c r="B42" s="186" t="s">
        <v>186</v>
      </c>
      <c r="C42" s="186" t="s">
        <v>187</v>
      </c>
      <c r="D42" s="71" t="s">
        <v>120</v>
      </c>
      <c r="E42" s="71" t="e">
        <f>VLOOKUP($C$5,Basis!$B$5:$BL$81,53,FALSE)</f>
        <v>#N/A</v>
      </c>
      <c r="F42" s="71"/>
    </row>
    <row r="43" spans="1:6" s="1" customFormat="1" ht="22.5" customHeight="1" x14ac:dyDescent="0.2">
      <c r="A43" s="71"/>
      <c r="B43" s="186" t="str">
        <f>CONCATENATE("Einwohnergewichtet standardisierter Indexwert Weite der Gemeinde ",C5," per Ende ",C7-2)</f>
        <v>Einwohnergewichtet standardisierter Indexwert Weite der Gemeinde  per Ende 2015</v>
      </c>
      <c r="C43" s="186" t="s">
        <v>253</v>
      </c>
      <c r="D43" s="71" t="s">
        <v>120</v>
      </c>
      <c r="E43" s="71" t="e">
        <f>E41/E42</f>
        <v>#N/A</v>
      </c>
      <c r="F43" s="71"/>
    </row>
    <row r="44" spans="1:6" s="1" customFormat="1" ht="17.25" customHeight="1" x14ac:dyDescent="0.2">
      <c r="A44" s="29"/>
      <c r="B44" s="30" t="str">
        <f>CONCATENATE("Einwohnerzahl der Gemeinde ",$C$5," Ende ",$C$7-2)</f>
        <v>Einwohnerzahl der Gemeinde  Ende 2015</v>
      </c>
      <c r="C44" s="30" t="s">
        <v>107</v>
      </c>
      <c r="D44" s="30" t="s">
        <v>108</v>
      </c>
      <c r="E44" s="217" t="e">
        <f>VLOOKUP($C$5,Basis!$B$5:$BL$81,14,FALSE)</f>
        <v>#N/A</v>
      </c>
      <c r="F44" s="29"/>
    </row>
    <row r="45" spans="1:6" s="1" customFormat="1" ht="17.25" customHeight="1" x14ac:dyDescent="0.2">
      <c r="A45" s="29"/>
      <c r="B45" s="30" t="s">
        <v>189</v>
      </c>
      <c r="C45" s="30" t="s">
        <v>111</v>
      </c>
      <c r="D45" s="30" t="s">
        <v>105</v>
      </c>
      <c r="E45" s="216" t="e">
        <f>VLOOKUP($C$5,Basis!$B$5:$BL$81,54,FALSE)</f>
        <v>#N/A</v>
      </c>
      <c r="F45" s="29"/>
    </row>
    <row r="46" spans="1:6" s="1" customFormat="1" ht="17.25" customHeight="1" x14ac:dyDescent="0.2">
      <c r="A46" s="29"/>
      <c r="B46" s="30" t="s">
        <v>188</v>
      </c>
      <c r="C46" s="30" t="s">
        <v>252</v>
      </c>
      <c r="D46" s="30" t="s">
        <v>103</v>
      </c>
      <c r="E46" s="219" t="e">
        <f>VLOOKUP($C$5,Basis!$B$5:$BL$81,55,FALSE)</f>
        <v>#N/A</v>
      </c>
      <c r="F46" s="29"/>
    </row>
    <row r="47" spans="1:6" s="1" customFormat="1" ht="17.25" customHeight="1" x14ac:dyDescent="0.2">
      <c r="A47" s="29"/>
      <c r="B47" s="30" t="s">
        <v>112</v>
      </c>
      <c r="C47" s="30"/>
      <c r="D47" s="30" t="s">
        <v>103</v>
      </c>
      <c r="E47" s="31" t="e">
        <f>VLOOKUP($C$5,Basis!$B$5:$BL$81,48,FALSE)</f>
        <v>#N/A</v>
      </c>
      <c r="F47" s="29"/>
    </row>
    <row r="48" spans="1:6" s="4" customFormat="1" ht="22.5" customHeight="1" x14ac:dyDescent="0.2">
      <c r="A48" s="26"/>
      <c r="B48" s="27" t="str">
        <f>CONCATENATE("Definitiver Beitrag an die Gemeinde ",$C$5," aus dem Sonderlastenausgleich Weite ",$C$7)</f>
        <v>Definitiver Beitrag an die Gemeinde  aus dem Sonderlastenausgleich Weite 2017</v>
      </c>
      <c r="C48" s="26" t="s">
        <v>113</v>
      </c>
      <c r="D48" s="26" t="s">
        <v>105</v>
      </c>
      <c r="E48" s="28" t="e">
        <f>IF(ROUND(E43*E44*E45*E46+(E43*E44*E45*E46)*E47,-2)&gt;0,ROUND(E43*E44*E45*E46+(E43*E44*E45*E46)*E47,-2),0)</f>
        <v>#N/A</v>
      </c>
      <c r="F48" s="26"/>
    </row>
    <row r="49" spans="1:6" ht="4.5" customHeight="1" x14ac:dyDescent="0.2">
      <c r="A49" s="223"/>
      <c r="B49" s="223"/>
      <c r="C49" s="223"/>
      <c r="D49" s="223"/>
      <c r="E49" s="223"/>
      <c r="F49" s="223"/>
    </row>
    <row r="50" spans="1:6" s="1" customFormat="1" ht="22.5" customHeight="1" x14ac:dyDescent="0.2">
      <c r="A50" s="13"/>
      <c r="B50" s="13" t="s">
        <v>171</v>
      </c>
      <c r="C50" s="13"/>
      <c r="D50" s="13"/>
      <c r="E50" s="13"/>
      <c r="F50" s="13"/>
    </row>
    <row r="51" spans="1:6" s="1" customFormat="1" ht="22.5" customHeight="1" x14ac:dyDescent="0.2">
      <c r="A51" s="16"/>
      <c r="B51" s="16" t="str">
        <f>CONCATENATE("Politische Gemeinde ",$C$5," ",$C$7,"; Definitive Daten")</f>
        <v>Politische Gemeinde  2017; Definitive Daten</v>
      </c>
      <c r="C51" s="16"/>
      <c r="D51" s="16"/>
      <c r="E51" s="16"/>
      <c r="F51" s="16"/>
    </row>
    <row r="52" spans="1:6" s="4" customFormat="1" ht="22.5" customHeight="1" x14ac:dyDescent="0.2">
      <c r="A52" s="32"/>
      <c r="B52" s="32" t="s">
        <v>114</v>
      </c>
      <c r="C52" s="32"/>
      <c r="D52" s="32"/>
      <c r="E52" s="32"/>
      <c r="F52" s="32"/>
    </row>
    <row r="53" spans="1:6" s="1" customFormat="1" ht="22.5" customHeight="1" x14ac:dyDescent="0.2">
      <c r="A53" s="33"/>
      <c r="B53" s="34" t="s">
        <v>115</v>
      </c>
      <c r="C53" s="34" t="s">
        <v>192</v>
      </c>
      <c r="D53" s="33"/>
      <c r="E53" s="33"/>
      <c r="F53" s="33"/>
    </row>
    <row r="54" spans="1:6" s="1" customFormat="1" ht="17.25" customHeight="1" x14ac:dyDescent="0.2">
      <c r="A54" s="35"/>
      <c r="B54" s="36" t="str">
        <f>CONCATENATE("Nettoaufwand der Gemeinde ",$C$5," für die Unterbringung von Kindern und Jugendlichen je Einwohner/in im Jahr ",$C$7-2)</f>
        <v>Nettoaufwand der Gemeinde  für die Unterbringung von Kindern und Jugendlichen je Einwohner/in im Jahr 2015</v>
      </c>
      <c r="C54" s="36" t="s">
        <v>193</v>
      </c>
      <c r="D54" s="36" t="s">
        <v>105</v>
      </c>
      <c r="E54" s="46" t="e">
        <f>VLOOKUP($C$5,Basis!$B$5:$BL$81,22,FALSE)/VLOOKUP($C$5,Basis!$B$5:$BL$81,14,FALSE)</f>
        <v>#N/A</v>
      </c>
      <c r="F54" s="35"/>
    </row>
    <row r="55" spans="1:6" s="1" customFormat="1" ht="17.25" customHeight="1" x14ac:dyDescent="0.2">
      <c r="A55" s="35"/>
      <c r="B55" s="36" t="str">
        <f>CONCATENATE("Nettoaufwand für die Unterbringung von Kindern und Jugendlichen je Einwohner/in im kantonalen Durchschnitt im Jahr ",$C$7-2)</f>
        <v>Nettoaufwand für die Unterbringung von Kindern und Jugendlichen je Einwohner/in im kantonalen Durchschnitt im Jahr 2015</v>
      </c>
      <c r="C55" s="36" t="s">
        <v>194</v>
      </c>
      <c r="D55" s="36" t="s">
        <v>105</v>
      </c>
      <c r="E55" s="46">
        <f>Basis!W82/Basis!O82</f>
        <v>28.058109524811385</v>
      </c>
      <c r="F55" s="35"/>
    </row>
    <row r="56" spans="1:6" s="1" customFormat="1" ht="17.25" customHeight="1" x14ac:dyDescent="0.2">
      <c r="A56" s="35"/>
      <c r="B56" s="36" t="str">
        <f>CONCATENATE("Einwohnerzahl der Gemeinde ",$C$5," Ende ",$C$7-2)</f>
        <v>Einwohnerzahl der Gemeinde  Ende 2015</v>
      </c>
      <c r="C56" s="36" t="s">
        <v>161</v>
      </c>
      <c r="D56" s="36" t="s">
        <v>108</v>
      </c>
      <c r="E56" s="38" t="e">
        <f>VLOOKUP($C$5,Basis!$B$5:$BL$81,14,FALSE)</f>
        <v>#N/A</v>
      </c>
      <c r="F56" s="35"/>
    </row>
    <row r="57" spans="1:6" s="1" customFormat="1" ht="17.25" customHeight="1" x14ac:dyDescent="0.2">
      <c r="A57" s="35"/>
      <c r="B57" s="36" t="s">
        <v>195</v>
      </c>
      <c r="C57" s="36" t="s">
        <v>196</v>
      </c>
      <c r="D57" s="36" t="s">
        <v>103</v>
      </c>
      <c r="E57" s="220" t="e">
        <f>VLOOKUP($C$5,Basis!$B$5:$BL$81,61,FALSE)</f>
        <v>#N/A</v>
      </c>
      <c r="F57" s="35"/>
    </row>
    <row r="58" spans="1:6" s="1" customFormat="1" ht="22.5" customHeight="1" x14ac:dyDescent="0.2">
      <c r="A58" s="39"/>
      <c r="B58" s="39" t="str">
        <f>CONCATENATE("Definitiver Beitrag an die Kosten für die Unterbringung von Kindern und Jugendlichen ",$C$7," an die Gemeinde ",$C$5)</f>
        <v xml:space="preserve">Definitiver Beitrag an die Kosten für die Unterbringung von Kindern und Jugendlichen 2017 an die Gemeinde </v>
      </c>
      <c r="C58" s="40" t="s">
        <v>162</v>
      </c>
      <c r="D58" s="40" t="s">
        <v>105</v>
      </c>
      <c r="E58" s="41" t="e">
        <f>IF((E54-E55)*E56*E57&gt;0,(E54-E55)*E56*E57,0)</f>
        <v>#N/A</v>
      </c>
      <c r="F58" s="39"/>
    </row>
    <row r="59" spans="1:6" ht="5.25" customHeight="1" x14ac:dyDescent="0.2">
      <c r="A59" s="42"/>
      <c r="B59" s="42"/>
      <c r="C59" s="42"/>
      <c r="D59" s="42"/>
      <c r="E59" s="42"/>
      <c r="F59" s="42"/>
    </row>
    <row r="60" spans="1:6" s="4" customFormat="1" ht="17.25" customHeight="1" x14ac:dyDescent="0.2">
      <c r="A60" s="43"/>
      <c r="B60" s="43" t="s">
        <v>116</v>
      </c>
      <c r="C60" s="43"/>
      <c r="D60" s="43"/>
      <c r="E60" s="43"/>
      <c r="F60" s="43"/>
    </row>
    <row r="61" spans="1:6" s="1" customFormat="1" ht="22.5" customHeight="1" x14ac:dyDescent="0.2">
      <c r="A61" s="33"/>
      <c r="B61" s="34" t="s">
        <v>117</v>
      </c>
      <c r="C61" s="34" t="s">
        <v>197</v>
      </c>
      <c r="D61" s="33"/>
      <c r="E61" s="33"/>
      <c r="F61" s="33"/>
    </row>
    <row r="62" spans="1:6" s="1" customFormat="1" ht="17.25" customHeight="1" x14ac:dyDescent="0.2">
      <c r="A62" s="35"/>
      <c r="B62" s="36" t="str">
        <f>CONCATENATE("Nettoaufwand der Gemeinde ",$C$5," für die Sozialhilfe je Einwohner/in im Jahr ",$C$7-2)</f>
        <v>Nettoaufwand der Gemeinde  für die Sozialhilfe je Einwohner/in im Jahr 2015</v>
      </c>
      <c r="C62" s="36" t="s">
        <v>198</v>
      </c>
      <c r="D62" s="36" t="s">
        <v>105</v>
      </c>
      <c r="E62" s="46" t="e">
        <f>VLOOKUP($C$5,Basis!$B$5:$BL$81,23,FALSE)/VLOOKUP($C$5,Basis!$B$5:$BL$81,14,FALSE)</f>
        <v>#N/A</v>
      </c>
      <c r="F62" s="35"/>
    </row>
    <row r="63" spans="1:6" s="1" customFormat="1" ht="17.25" customHeight="1" x14ac:dyDescent="0.2">
      <c r="A63" s="35"/>
      <c r="B63" s="36" t="str">
        <f>CONCATENATE("Nettoaufwand für die Sozialhilfe je Einwohner/in im kantonalen Durchschnitt im Jahr ",$C$7-2)</f>
        <v>Nettoaufwand für die Sozialhilfe je Einwohner/in im kantonalen Durchschnitt im Jahr 2015</v>
      </c>
      <c r="C63" s="36" t="s">
        <v>199</v>
      </c>
      <c r="D63" s="36" t="s">
        <v>105</v>
      </c>
      <c r="E63" s="46">
        <f>Basis!X82/Basis!O82</f>
        <v>186.63051432178185</v>
      </c>
      <c r="F63" s="35"/>
    </row>
    <row r="64" spans="1:6" s="1" customFormat="1" ht="17.25" customHeight="1" x14ac:dyDescent="0.2">
      <c r="A64" s="35"/>
      <c r="B64" s="36" t="str">
        <f>CONCATENATE("Einwohnerzahl der Gemeinde ",$C$5," Ende ",$C$7-2)</f>
        <v>Einwohnerzahl der Gemeinde  Ende 2015</v>
      </c>
      <c r="C64" s="36" t="s">
        <v>161</v>
      </c>
      <c r="D64" s="36" t="s">
        <v>108</v>
      </c>
      <c r="E64" s="38" t="e">
        <f>VLOOKUP($C$5,Basis!$B$5:$BL$81,14,FALSE)</f>
        <v>#N/A</v>
      </c>
      <c r="F64" s="35"/>
    </row>
    <row r="65" spans="1:6" s="1" customFormat="1" ht="17.25" customHeight="1" x14ac:dyDescent="0.2">
      <c r="A65" s="35"/>
      <c r="B65" s="36" t="s">
        <v>254</v>
      </c>
      <c r="C65" s="36" t="s">
        <v>200</v>
      </c>
      <c r="D65" s="36" t="s">
        <v>103</v>
      </c>
      <c r="E65" s="220" t="e">
        <f>VLOOKUP($C$5,Basis!$B$5:$BL$81,61,FALSE)</f>
        <v>#N/A</v>
      </c>
      <c r="F65" s="35"/>
    </row>
    <row r="66" spans="1:6" s="1" customFormat="1" ht="17.25" customHeight="1" x14ac:dyDescent="0.2">
      <c r="A66" s="35"/>
      <c r="B66" s="36" t="s">
        <v>255</v>
      </c>
      <c r="C66" s="36" t="s">
        <v>200</v>
      </c>
      <c r="D66" s="36" t="s">
        <v>103</v>
      </c>
      <c r="E66" s="220" t="e">
        <f>VLOOKUP($C$5,Basis!$B$5:$BL$81,62,FALSE)</f>
        <v>#N/A</v>
      </c>
      <c r="F66" s="35"/>
    </row>
    <row r="67" spans="1:6" s="1" customFormat="1" ht="22.5" customHeight="1" x14ac:dyDescent="0.2">
      <c r="A67" s="39"/>
      <c r="B67" s="39" t="str">
        <f>CONCATENATE("Definitiver Beitrag an die Kosten für die Sozialhilfe ",$C$7," an die Gemeinde ",$C$5)</f>
        <v xml:space="preserve">Definitiver Beitrag an die Kosten für die Sozialhilfe 2017 an die Gemeinde </v>
      </c>
      <c r="C67" s="40" t="s">
        <v>163</v>
      </c>
      <c r="D67" s="40" t="s">
        <v>105</v>
      </c>
      <c r="E67" s="41" t="e">
        <f>IF((E62-E63)*E64*E65&gt;0,(E62-E63)*E64*E65,(E62-E63)*E64*VLOOKUP($C$5,Basis!$B$5:$BL$81,62,FALSE))</f>
        <v>#N/A</v>
      </c>
      <c r="F67" s="39"/>
    </row>
    <row r="68" spans="1:6" ht="5.25" customHeight="1" x14ac:dyDescent="0.2">
      <c r="A68" s="44"/>
      <c r="B68" s="42"/>
      <c r="C68" s="42"/>
      <c r="D68" s="42"/>
      <c r="E68" s="42"/>
      <c r="F68" s="42"/>
    </row>
    <row r="69" spans="1:6" s="4" customFormat="1" ht="22.5" customHeight="1" x14ac:dyDescent="0.2">
      <c r="A69" s="43"/>
      <c r="B69" s="43" t="s">
        <v>118</v>
      </c>
      <c r="C69" s="43"/>
      <c r="D69" s="43"/>
      <c r="E69" s="43"/>
      <c r="F69" s="43"/>
    </row>
    <row r="70" spans="1:6" s="1" customFormat="1" ht="22.5" customHeight="1" x14ac:dyDescent="0.2">
      <c r="A70" s="33"/>
      <c r="B70" s="34" t="s">
        <v>119</v>
      </c>
      <c r="C70" s="34" t="s">
        <v>201</v>
      </c>
      <c r="D70" s="33"/>
      <c r="E70" s="33"/>
      <c r="F70" s="33"/>
    </row>
    <row r="71" spans="1:6" s="1" customFormat="1" ht="17.25" customHeight="1" x14ac:dyDescent="0.2">
      <c r="A71" s="35"/>
      <c r="B71" s="36" t="str">
        <f>CONCATENATE("Nettoaufwand der Gemeinde ",$C$5," für die stationäre Pflege je Einwohner/in im Jahr ",$C$7-2)</f>
        <v>Nettoaufwand der Gemeinde  für die stationäre Pflege je Einwohner/in im Jahr 2015</v>
      </c>
      <c r="C71" s="36" t="s">
        <v>202</v>
      </c>
      <c r="D71" s="36" t="s">
        <v>105</v>
      </c>
      <c r="E71" s="46" t="e">
        <f>VLOOKUP($C$5,Basis!$B$5:$BL$81,24,FALSE)/VLOOKUP($C$5,Basis!$B$5:$BL$81,14,FALSE)</f>
        <v>#N/A</v>
      </c>
      <c r="F71" s="35"/>
    </row>
    <row r="72" spans="1:6" s="1" customFormat="1" ht="17.25" customHeight="1" x14ac:dyDescent="0.2">
      <c r="A72" s="35"/>
      <c r="B72" s="36" t="str">
        <f>CONCATENATE("Nettoaufwand für die stationäre Pflege je Einwohner/in im kantonalen Durchschnitt im Jahr ",$C$7-2)</f>
        <v>Nettoaufwand für die stationäre Pflege je Einwohner/in im kantonalen Durchschnitt im Jahr 2015</v>
      </c>
      <c r="C72" s="36" t="s">
        <v>203</v>
      </c>
      <c r="D72" s="36" t="s">
        <v>105</v>
      </c>
      <c r="E72" s="46">
        <f>Basis!Y82/Basis!O82</f>
        <v>123.57806668470033</v>
      </c>
      <c r="F72" s="35"/>
    </row>
    <row r="73" spans="1:6" s="1" customFormat="1" ht="17.25" customHeight="1" x14ac:dyDescent="0.2">
      <c r="A73" s="189"/>
      <c r="B73" s="190" t="str">
        <f>CONCATENATE("Einwohnerzahl der Gemeinde ",$C$5," Ende ",$C$7-2)</f>
        <v>Einwohnerzahl der Gemeinde  Ende 2015</v>
      </c>
      <c r="C73" s="190" t="s">
        <v>161</v>
      </c>
      <c r="D73" s="190" t="s">
        <v>108</v>
      </c>
      <c r="E73" s="191" t="e">
        <f>VLOOKUP($C$5,Basis!$B$5:$BL$81,14,FALSE)</f>
        <v>#N/A</v>
      </c>
      <c r="F73" s="189"/>
    </row>
    <row r="74" spans="1:6" s="1" customFormat="1" ht="17.25" customHeight="1" x14ac:dyDescent="0.2">
      <c r="A74" s="189"/>
      <c r="B74" s="190" t="s">
        <v>256</v>
      </c>
      <c r="C74" s="190" t="s">
        <v>204</v>
      </c>
      <c r="D74" s="36" t="s">
        <v>103</v>
      </c>
      <c r="E74" s="220" t="e">
        <f>VLOOKUP($C$5,Basis!$B$5:$BL$81,61,FALSE)</f>
        <v>#N/A</v>
      </c>
      <c r="F74" s="189"/>
    </row>
    <row r="75" spans="1:6" s="1" customFormat="1" ht="17.25" customHeight="1" x14ac:dyDescent="0.2">
      <c r="A75" s="151"/>
      <c r="B75" s="152" t="s">
        <v>257</v>
      </c>
      <c r="C75" s="190" t="s">
        <v>204</v>
      </c>
      <c r="D75" s="152" t="s">
        <v>103</v>
      </c>
      <c r="E75" s="220" t="e">
        <f>VLOOKUP($C$5,Basis!$B$5:$BL$81,62,FALSE)</f>
        <v>#N/A</v>
      </c>
      <c r="F75" s="151"/>
    </row>
    <row r="76" spans="1:6" ht="22.5" customHeight="1" x14ac:dyDescent="0.2">
      <c r="A76" s="39"/>
      <c r="B76" s="39" t="str">
        <f>CONCATENATE("Definitiver Beitrag an die Kosten für die stationäre Pflege ",$C$7," an die Gemeinde ",$C$5)</f>
        <v xml:space="preserve">Definitiver Beitrag an die Kosten für die stationäre Pflege 2017 an die Gemeinde </v>
      </c>
      <c r="C76" s="40" t="s">
        <v>164</v>
      </c>
      <c r="D76" s="40" t="s">
        <v>105</v>
      </c>
      <c r="E76" s="41" t="e">
        <f>IF((E71-E72)*E73*E74&gt;0,(E71-E72)*E73*E74,(E71-E72)*E73*VLOOKUP($C$5,Basis!$B$5:$BL$81,62,FALSE))</f>
        <v>#N/A</v>
      </c>
      <c r="F76" s="39"/>
    </row>
    <row r="77" spans="1:6" ht="5.25" customHeight="1" x14ac:dyDescent="0.2">
      <c r="A77" s="23"/>
      <c r="B77" s="23"/>
      <c r="C77" s="23"/>
      <c r="D77" s="23"/>
      <c r="E77" s="23"/>
      <c r="F77" s="23"/>
    </row>
    <row r="78" spans="1:6" s="193" customFormat="1" ht="17.25" customHeight="1" x14ac:dyDescent="0.2">
      <c r="A78" s="192"/>
      <c r="B78" s="192" t="s">
        <v>205</v>
      </c>
      <c r="C78" s="192"/>
      <c r="D78" s="192"/>
      <c r="E78" s="192"/>
      <c r="F78" s="192"/>
    </row>
    <row r="79" spans="1:6" s="1" customFormat="1" ht="17.25" customHeight="1" x14ac:dyDescent="0.2">
      <c r="A79" s="194"/>
      <c r="B79" s="194" t="s">
        <v>206</v>
      </c>
      <c r="C79" s="194" t="s">
        <v>207</v>
      </c>
      <c r="D79" s="194"/>
      <c r="E79" s="194"/>
      <c r="F79" s="194"/>
    </row>
    <row r="80" spans="1:6" s="1" customFormat="1" ht="17.25" customHeight="1" x14ac:dyDescent="0.2">
      <c r="A80" s="29"/>
      <c r="B80" s="29" t="str">
        <f>CONCATENATE("Sonderlasten der Gemeinde ",C5," bei der Unterbringung von Kindern und Jugendlichen in Kinder- und Jugendheimen")</f>
        <v>Sonderlasten der Gemeinde  bei der Unterbringung von Kindern und Jugendlichen in Kinder- und Jugendheimen</v>
      </c>
      <c r="C80" s="29" t="s">
        <v>208</v>
      </c>
      <c r="D80" s="29" t="s">
        <v>105</v>
      </c>
      <c r="E80" s="221" t="e">
        <f>E58</f>
        <v>#N/A</v>
      </c>
      <c r="F80" s="29"/>
    </row>
    <row r="81" spans="1:6" s="1" customFormat="1" ht="17.25" customHeight="1" x14ac:dyDescent="0.2">
      <c r="A81" s="29"/>
      <c r="B81" s="29" t="str">
        <f>CONCATENATE("Sonder- und Minderlasten der Gemeinde ",C5," bei der finanziellen Sozialhilfe")</f>
        <v>Sonder- und Minderlasten der Gemeinde  bei der finanziellen Sozialhilfe</v>
      </c>
      <c r="C81" s="29" t="s">
        <v>209</v>
      </c>
      <c r="D81" s="29" t="s">
        <v>105</v>
      </c>
      <c r="E81" s="221" t="e">
        <f>E67</f>
        <v>#N/A</v>
      </c>
      <c r="F81" s="29"/>
    </row>
    <row r="82" spans="1:6" s="1" customFormat="1" ht="17.25" customHeight="1" x14ac:dyDescent="0.2">
      <c r="A82" s="29"/>
      <c r="B82" s="29" t="str">
        <f>CONCATENATE("Sonder- und Minderlasten der Gemeinde ",C5," bei der stationären Pflege")</f>
        <v>Sonder- und Minderlasten der Gemeinde  bei der stationären Pflege</v>
      </c>
      <c r="C82" s="29" t="s">
        <v>210</v>
      </c>
      <c r="D82" s="29" t="s">
        <v>105</v>
      </c>
      <c r="E82" s="221" t="e">
        <f>E76</f>
        <v>#N/A</v>
      </c>
      <c r="F82" s="29"/>
    </row>
    <row r="83" spans="1:6" s="4" customFormat="1" ht="22.5" customHeight="1" x14ac:dyDescent="0.2">
      <c r="A83" s="26"/>
      <c r="B83" s="27" t="str">
        <f>CONCATENATE("Definitiver Beitrag an die Gemeinde ",$C$5," aus dem soziodemographischen Sonderlastenausgleich ",$C$7)</f>
        <v>Definitiver Beitrag an die Gemeinde  aus dem soziodemographischen Sonderlastenausgleich 2017</v>
      </c>
      <c r="C83" s="26"/>
      <c r="D83" s="26" t="s">
        <v>105</v>
      </c>
      <c r="E83" s="53" t="e">
        <f>IF(ROUND(SUM(E76,E67,E58),-2)&gt;0,ROUND(SUM(E76,E67,E58),-2),0)</f>
        <v>#N/A</v>
      </c>
      <c r="F83" s="26"/>
    </row>
    <row r="84" spans="1:6" ht="5.25" customHeight="1" x14ac:dyDescent="0.2">
      <c r="A84" s="223"/>
      <c r="B84" s="223"/>
      <c r="C84" s="223"/>
      <c r="D84" s="223"/>
      <c r="E84" s="223"/>
      <c r="F84" s="223"/>
    </row>
    <row r="85" spans="1:6" s="4" customFormat="1" ht="22.5" customHeight="1" x14ac:dyDescent="0.2">
      <c r="A85" s="13"/>
      <c r="B85" s="13" t="s">
        <v>172</v>
      </c>
      <c r="C85" s="13"/>
      <c r="D85" s="13"/>
      <c r="E85" s="13"/>
      <c r="F85" s="13"/>
    </row>
    <row r="86" spans="1:6" s="4" customFormat="1" ht="22.5" customHeight="1" x14ac:dyDescent="0.2">
      <c r="A86" s="16"/>
      <c r="B86" s="16" t="str">
        <f>CONCATENATE("Politische Gemeinde ",$C$5," ",$C$7,"; Definitive Daten")</f>
        <v>Politische Gemeinde  2017; Definitive Daten</v>
      </c>
      <c r="C86" s="16"/>
      <c r="D86" s="16"/>
      <c r="E86" s="16"/>
      <c r="F86" s="16"/>
    </row>
    <row r="87" spans="1:6" s="4" customFormat="1" ht="22.5" customHeight="1" x14ac:dyDescent="0.2">
      <c r="A87" s="45"/>
      <c r="B87" s="45" t="s">
        <v>121</v>
      </c>
      <c r="C87" s="45"/>
      <c r="D87" s="45"/>
      <c r="E87" s="45"/>
      <c r="F87" s="45"/>
    </row>
    <row r="88" spans="1:6" s="1" customFormat="1" ht="22.5" customHeight="1" x14ac:dyDescent="0.2">
      <c r="A88" s="195"/>
      <c r="B88" s="196" t="s">
        <v>211</v>
      </c>
      <c r="C88" s="196" t="s">
        <v>212</v>
      </c>
      <c r="D88" s="195"/>
      <c r="E88" s="195"/>
      <c r="F88" s="195"/>
    </row>
    <row r="89" spans="1:6" s="1" customFormat="1" ht="22.5" customHeight="1" x14ac:dyDescent="0.2">
      <c r="A89" s="197"/>
      <c r="B89" s="198" t="s">
        <v>176</v>
      </c>
      <c r="C89" s="198" t="s">
        <v>213</v>
      </c>
      <c r="D89" s="197"/>
      <c r="E89" s="222"/>
      <c r="F89" s="197"/>
    </row>
    <row r="90" spans="1:6" s="1" customFormat="1" ht="17.25" customHeight="1" x14ac:dyDescent="0.2">
      <c r="A90" s="35"/>
      <c r="B90" s="36" t="str">
        <f>CONCATENATE("Schülerzahl je Einwohner/in der Gemeinde ",$C$5," in der Volksschule im Jahr ",$C$7-2)</f>
        <v>Schülerzahl je Einwohner/in der Gemeinde  in der Volksschule im Jahr 2015</v>
      </c>
      <c r="C90" s="36" t="s">
        <v>165</v>
      </c>
      <c r="D90" s="36" t="s">
        <v>120</v>
      </c>
      <c r="E90" s="37" t="e">
        <f>VLOOKUP($C$5,Basis!$B$5:$BL$81,19,FALSE)/VLOOKUP($C$5,Basis!$B$5:$BL$81,14,FALSE)</f>
        <v>#N/A</v>
      </c>
      <c r="F90" s="35"/>
    </row>
    <row r="91" spans="1:6" s="1" customFormat="1" ht="17.25" customHeight="1" x14ac:dyDescent="0.2">
      <c r="A91" s="35"/>
      <c r="B91" s="36" t="str">
        <f>CONCATENATE("Schülerzahl je Einwohner/in in der Volksschule im kantonalen Durchschnitt im Jahr ",$C$7-2)</f>
        <v>Schülerzahl je Einwohner/in in der Volksschule im kantonalen Durchschnitt im Jahr 2015</v>
      </c>
      <c r="C91" s="36" t="s">
        <v>166</v>
      </c>
      <c r="D91" s="36" t="s">
        <v>120</v>
      </c>
      <c r="E91" s="37">
        <f>Basis!$T$82/Basis!$O$82</f>
        <v>0.1107190446134271</v>
      </c>
      <c r="F91" s="35"/>
    </row>
    <row r="92" spans="1:6" s="1" customFormat="1" ht="17.25" customHeight="1" x14ac:dyDescent="0.2">
      <c r="A92" s="35"/>
      <c r="B92" s="36" t="str">
        <f>CONCATENATE("BLD-Sozialindex der Gemeinde ",C5)</f>
        <v xml:space="preserve">BLD-Sozialindex der Gemeinde </v>
      </c>
      <c r="C92" s="36" t="s">
        <v>214</v>
      </c>
      <c r="D92" s="36" t="s">
        <v>120</v>
      </c>
      <c r="E92" s="46" t="e">
        <f>VLOOKUP($C$5,Basis!$B$5:$BL$81,21,FALSE)</f>
        <v>#N/A</v>
      </c>
      <c r="F92" s="35"/>
    </row>
    <row r="93" spans="1:6" s="1" customFormat="1" ht="17.25" customHeight="1" x14ac:dyDescent="0.2">
      <c r="A93" s="35"/>
      <c r="B93" s="36" t="str">
        <f>CONCATENATE("Reduzierter BLD-Sozialindex der Gemeinde ",C5)</f>
        <v xml:space="preserve">Reduzierter BLD-Sozialindex der Gemeinde </v>
      </c>
      <c r="C93" s="36" t="s">
        <v>215</v>
      </c>
      <c r="D93" s="36" t="s">
        <v>120</v>
      </c>
      <c r="E93" s="37" t="e">
        <f>1+(E92-1)*0.15</f>
        <v>#N/A</v>
      </c>
      <c r="F93" s="35"/>
    </row>
    <row r="94" spans="1:6" s="1" customFormat="1" ht="17.25" customHeight="1" x14ac:dyDescent="0.2">
      <c r="A94" s="35"/>
      <c r="B94" s="36" t="str">
        <f>CONCATENATE("Einwohnerzahl der Gemeinde ",$C$5," Ende ",$C$7-2)</f>
        <v>Einwohnerzahl der Gemeinde  Ende 2015</v>
      </c>
      <c r="C94" s="36" t="s">
        <v>161</v>
      </c>
      <c r="D94" s="36" t="s">
        <v>108</v>
      </c>
      <c r="E94" s="38" t="e">
        <f>VLOOKUP($C$5,Basis!$B$5:$BL$81,14,FALSE)</f>
        <v>#N/A</v>
      </c>
      <c r="F94" s="35"/>
    </row>
    <row r="95" spans="1:6" s="1" customFormat="1" ht="17.25" customHeight="1" x14ac:dyDescent="0.2">
      <c r="A95" s="35"/>
      <c r="B95" s="36" t="s">
        <v>122</v>
      </c>
      <c r="C95" s="36" t="s">
        <v>123</v>
      </c>
      <c r="D95" s="36" t="s">
        <v>105</v>
      </c>
      <c r="E95" s="46" t="e">
        <f>VLOOKUP($C$5,Basis!$B$5:$BL$81,56,FALSE)</f>
        <v>#N/A</v>
      </c>
      <c r="F95" s="35"/>
    </row>
    <row r="96" spans="1:6" s="1" customFormat="1" ht="17.25" customHeight="1" x14ac:dyDescent="0.2">
      <c r="A96" s="35"/>
      <c r="B96" s="36" t="s">
        <v>258</v>
      </c>
      <c r="C96" s="36" t="s">
        <v>216</v>
      </c>
      <c r="D96" s="36" t="s">
        <v>103</v>
      </c>
      <c r="E96" s="220" t="e">
        <f>VLOOKUP($C$5,Basis!$B$5:$BL$81,58,FALSE)</f>
        <v>#N/A</v>
      </c>
      <c r="F96" s="35"/>
    </row>
    <row r="97" spans="1:6" s="1" customFormat="1" ht="17.25" customHeight="1" x14ac:dyDescent="0.2">
      <c r="A97" s="35"/>
      <c r="B97" s="36" t="s">
        <v>259</v>
      </c>
      <c r="C97" s="36" t="s">
        <v>216</v>
      </c>
      <c r="D97" s="36" t="s">
        <v>103</v>
      </c>
      <c r="E97" s="220" t="e">
        <f>VLOOKUP($C$5,Basis!$B$5:$BL$81,60,FALSE)</f>
        <v>#N/A</v>
      </c>
      <c r="F97" s="35"/>
    </row>
    <row r="98" spans="1:6" s="1" customFormat="1" ht="17.25" customHeight="1" x14ac:dyDescent="0.2">
      <c r="A98" s="35"/>
      <c r="B98" s="36" t="s">
        <v>112</v>
      </c>
      <c r="C98" s="36"/>
      <c r="D98" s="36" t="s">
        <v>103</v>
      </c>
      <c r="E98" s="49" t="e">
        <f>VLOOKUP($C$5,Basis!$B$5:$BL$81,48,FALSE)</f>
        <v>#N/A</v>
      </c>
      <c r="F98" s="35"/>
    </row>
    <row r="99" spans="1:6" s="1" customFormat="1" ht="22.5" customHeight="1" x14ac:dyDescent="0.2">
      <c r="A99" s="39"/>
      <c r="B99" s="39" t="str">
        <f>CONCATENATE("Sonder- oder Minderlasten der Gemeinde ",C5," bei der Volksschule vor allfälligen Kürzungen")</f>
        <v>Sonder- oder Minderlasten der Gemeinde  bei der Volksschule vor allfälligen Kürzungen</v>
      </c>
      <c r="C99" s="40" t="s">
        <v>167</v>
      </c>
      <c r="D99" s="39" t="e">
        <f>IF(E99&gt;0,"Fr.","")</f>
        <v>#N/A</v>
      </c>
      <c r="E99" s="41" t="e">
        <f>IF(E90&gt;E91,(E90*E93-E91)*E94*E95*E96,(E90*E93-E91)*E94*E95*E97)</f>
        <v>#N/A</v>
      </c>
      <c r="F99" s="39"/>
    </row>
    <row r="100" spans="1:6" ht="5.25" customHeight="1" x14ac:dyDescent="0.2"/>
    <row r="101" spans="1:6" s="4" customFormat="1" ht="22.5" customHeight="1" x14ac:dyDescent="0.2">
      <c r="A101" s="45"/>
      <c r="B101" s="45" t="s">
        <v>124</v>
      </c>
      <c r="C101" s="45"/>
      <c r="D101" s="45"/>
      <c r="E101" s="45"/>
      <c r="F101" s="45"/>
    </row>
    <row r="102" spans="1:6" s="1" customFormat="1" ht="22.5" customHeight="1" x14ac:dyDescent="0.2">
      <c r="A102" s="33"/>
      <c r="B102" s="34" t="s">
        <v>125</v>
      </c>
      <c r="C102" s="34" t="s">
        <v>217</v>
      </c>
      <c r="D102" s="33"/>
      <c r="E102" s="33"/>
      <c r="F102" s="33"/>
    </row>
    <row r="103" spans="1:6" s="1" customFormat="1" ht="17.25" customHeight="1" x14ac:dyDescent="0.2">
      <c r="A103" s="35"/>
      <c r="B103" s="36" t="str">
        <f>CONCATENATE("Schülerzahl je Einwohner/in der Gemeinde ",$C$5," in der Sonderschule im Jahr ",$C$7-2)</f>
        <v>Schülerzahl je Einwohner/in der Gemeinde  in der Sonderschule im Jahr 2015</v>
      </c>
      <c r="C103" s="36" t="s">
        <v>168</v>
      </c>
      <c r="D103" s="36" t="s">
        <v>120</v>
      </c>
      <c r="E103" s="37" t="e">
        <f>VLOOKUP($C$5,Basis!$B$5:$BL$81,20,FALSE)/VLOOKUP($C$5,Basis!$B$5:$BL$81,14,FALSE)</f>
        <v>#N/A</v>
      </c>
      <c r="F103" s="35"/>
    </row>
    <row r="104" spans="1:6" s="1" customFormat="1" ht="17.25" customHeight="1" x14ac:dyDescent="0.2">
      <c r="A104" s="35"/>
      <c r="B104" s="36" t="str">
        <f>CONCATENATE("Schülerzahl je Einwohner/in in der Sonderschule im kantonalen Durchschnitt im Jahr ",$C$7-2)</f>
        <v>Schülerzahl je Einwohner/in in der Sonderschule im kantonalen Durchschnitt im Jahr 2015</v>
      </c>
      <c r="C104" s="36" t="s">
        <v>169</v>
      </c>
      <c r="D104" s="36" t="s">
        <v>120</v>
      </c>
      <c r="E104" s="37">
        <f>Basis!$U$82/Basis!$O$82</f>
        <v>2.5928486269323637E-3</v>
      </c>
      <c r="F104" s="35"/>
    </row>
    <row r="105" spans="1:6" s="1" customFormat="1" ht="17.25" customHeight="1" x14ac:dyDescent="0.2">
      <c r="A105" s="35"/>
      <c r="B105" s="36" t="str">
        <f>CONCATENATE("Einwohnerzahl der Gemeinde ",$C$5," Ende ",$C$7-2)</f>
        <v>Einwohnerzahl der Gemeinde  Ende 2015</v>
      </c>
      <c r="C105" s="36" t="s">
        <v>161</v>
      </c>
      <c r="D105" s="36" t="s">
        <v>108</v>
      </c>
      <c r="E105" s="38" t="e">
        <f>VLOOKUP($C$5,Basis!$B$5:$BL$81,14,FALSE)</f>
        <v>#N/A</v>
      </c>
      <c r="F105" s="35"/>
    </row>
    <row r="106" spans="1:6" s="1" customFormat="1" ht="17.25" customHeight="1" x14ac:dyDescent="0.2">
      <c r="A106" s="35"/>
      <c r="B106" s="36" t="s">
        <v>126</v>
      </c>
      <c r="C106" s="36" t="s">
        <v>127</v>
      </c>
      <c r="D106" s="36" t="s">
        <v>105</v>
      </c>
      <c r="E106" s="46" t="e">
        <f>VLOOKUP($C$5,Basis!$B$5:$BL$81,57,FALSE)</f>
        <v>#N/A</v>
      </c>
      <c r="F106" s="35"/>
    </row>
    <row r="107" spans="1:6" s="1" customFormat="1" ht="17.25" customHeight="1" x14ac:dyDescent="0.2">
      <c r="A107" s="35"/>
      <c r="B107" s="36" t="s">
        <v>218</v>
      </c>
      <c r="C107" s="36" t="s">
        <v>219</v>
      </c>
      <c r="D107" s="36" t="s">
        <v>103</v>
      </c>
      <c r="E107" s="220" t="e">
        <f>VLOOKUP($C$5,Basis!$B$5:$BL$81,59,FALSE)</f>
        <v>#N/A</v>
      </c>
      <c r="F107" s="35"/>
    </row>
    <row r="108" spans="1:6" s="1" customFormat="1" ht="17.25" customHeight="1" x14ac:dyDescent="0.2">
      <c r="A108" s="35"/>
      <c r="B108" s="36" t="s">
        <v>112</v>
      </c>
      <c r="C108" s="36"/>
      <c r="D108" s="36" t="s">
        <v>103</v>
      </c>
      <c r="E108" s="49" t="e">
        <f>VLOOKUP($C$5,Basis!$B$5:$BL$81,48,FALSE)</f>
        <v>#N/A</v>
      </c>
      <c r="F108" s="35"/>
    </row>
    <row r="109" spans="1:6" s="1" customFormat="1" ht="22.5" customHeight="1" x14ac:dyDescent="0.2">
      <c r="A109" s="39"/>
      <c r="B109" s="39" t="str">
        <f>CONCATENATE("Sonderlast Sonderschule ",$C$7," an die Gemeinde ",$C$5," vor allfälligen Kürzungen")</f>
        <v>Sonderlast Sonderschule 2017 an die Gemeinde  vor allfälligen Kürzungen</v>
      </c>
      <c r="C109" s="40" t="s">
        <v>170</v>
      </c>
      <c r="D109" s="39" t="s">
        <v>105</v>
      </c>
      <c r="E109" s="41" t="e">
        <f>IF(E103&gt;E104,(E103-E104)*E105*E106*E107,0)</f>
        <v>#N/A</v>
      </c>
      <c r="F109" s="39"/>
    </row>
    <row r="110" spans="1:6" ht="5.25" customHeight="1" x14ac:dyDescent="0.2">
      <c r="A110" s="13"/>
      <c r="B110" s="13"/>
      <c r="C110" s="13"/>
      <c r="D110" s="13"/>
      <c r="E110" s="13"/>
      <c r="F110" s="13"/>
    </row>
    <row r="111" spans="1:6" ht="22.5" customHeight="1" x14ac:dyDescent="0.2">
      <c r="A111" s="16"/>
      <c r="B111" s="47" t="str">
        <f>CONCATENATE("Definitiver Beitrag an die Gemeinde ",$C$5," aus dem Sonderlastenausgleich Schule ",$C$7)</f>
        <v>Definitiver Beitrag an die Gemeinde  aus dem Sonderlastenausgleich Schule 2017</v>
      </c>
      <c r="C111" s="16"/>
      <c r="D111" s="16" t="e">
        <f>IF(E111&gt;0,"Fr.","")</f>
        <v>#N/A</v>
      </c>
      <c r="E111" s="48" t="e">
        <f>IF(ROUND(SUM(E109,E99),-2)&gt;0,ROUND(SUM(E99,E109)+SUM(E99,E109)*E108,-2),0)</f>
        <v>#N/A</v>
      </c>
      <c r="F111" s="16"/>
    </row>
    <row r="112" spans="1:6" ht="5.25" customHeight="1" x14ac:dyDescent="0.2">
      <c r="A112" s="223"/>
      <c r="B112" s="223"/>
      <c r="C112" s="223"/>
      <c r="D112" s="223"/>
      <c r="E112" s="223"/>
      <c r="F112" s="223"/>
    </row>
    <row r="113" spans="1:6" s="4" customFormat="1" ht="22.5" customHeight="1" x14ac:dyDescent="0.2">
      <c r="A113" s="26"/>
      <c r="B113" s="26" t="s">
        <v>128</v>
      </c>
      <c r="C113" s="26"/>
      <c r="D113" s="26"/>
      <c r="E113" s="26"/>
      <c r="F113" s="26"/>
    </row>
    <row r="114" spans="1:6" s="1" customFormat="1" ht="17.25" customHeight="1" x14ac:dyDescent="0.2">
      <c r="A114" s="29"/>
      <c r="B114" s="29" t="str">
        <f>CONCATENATE("Veränderung Landesindex der Konsumentenpreise Juni ",$C$7, " zu Juni 2007")</f>
        <v>Veränderung Landesindex der Konsumentenpreise Juni 2017 zu Juni 2007</v>
      </c>
      <c r="C114" s="29"/>
      <c r="D114" s="30" t="s">
        <v>103</v>
      </c>
      <c r="E114" s="51" t="str">
        <f>IF(C5="St.Gallen",Basis!$BL$5/101.7%-1,"")</f>
        <v/>
      </c>
      <c r="F114" s="29"/>
    </row>
    <row r="115" spans="1:6" s="1" customFormat="1" ht="17.25" customHeight="1" x14ac:dyDescent="0.2">
      <c r="A115" s="29"/>
      <c r="B115" s="30" t="s">
        <v>129</v>
      </c>
      <c r="C115" s="30" t="s">
        <v>260</v>
      </c>
      <c r="D115" s="29" t="s">
        <v>105</v>
      </c>
      <c r="E115" s="52" t="str">
        <f>IF(C5="St.Gallen",ROUND(7000000+7000000*E114,-2),"")</f>
        <v/>
      </c>
      <c r="F115" s="29"/>
    </row>
    <row r="116" spans="1:6" s="1" customFormat="1" ht="17.25" customHeight="1" x14ac:dyDescent="0.2">
      <c r="A116" s="29"/>
      <c r="B116" s="30" t="s">
        <v>130</v>
      </c>
      <c r="C116" s="30" t="s">
        <v>131</v>
      </c>
      <c r="D116" s="29" t="s">
        <v>105</v>
      </c>
      <c r="E116" s="52" t="str">
        <f>IF(C5="St.Gallen",ROUND(9000000+9000000*E114,-2),"")</f>
        <v/>
      </c>
      <c r="F116" s="29"/>
    </row>
    <row r="117" spans="1:6" s="4" customFormat="1" ht="22.5" customHeight="1" x14ac:dyDescent="0.2">
      <c r="A117" s="26"/>
      <c r="B117" s="27" t="str">
        <f>CONCATENATE("Definitiver Beitrag an die Gemeinde ",$C$5," aus dem Sonderlastenausgleich Stadt ",$C$7)</f>
        <v>Definitiver Beitrag an die Gemeinde  aus dem Sonderlastenausgleich Stadt 2017</v>
      </c>
      <c r="C117" s="26"/>
      <c r="D117" s="26" t="s">
        <v>105</v>
      </c>
      <c r="E117" s="53">
        <f>SUM(E115:E116)</f>
        <v>0</v>
      </c>
      <c r="F117" s="26"/>
    </row>
    <row r="118" spans="1:6" ht="22.5" customHeight="1" thickBot="1" x14ac:dyDescent="0.25">
      <c r="B118" s="54"/>
    </row>
    <row r="119" spans="1:6" s="2" customFormat="1" ht="22.5" customHeight="1" thickBot="1" x14ac:dyDescent="0.25">
      <c r="A119" s="55"/>
      <c r="B119" s="55" t="s">
        <v>173</v>
      </c>
      <c r="C119" s="55"/>
      <c r="D119" s="55"/>
      <c r="E119" s="55"/>
      <c r="F119" s="55"/>
    </row>
    <row r="120" spans="1:6" ht="5.25" customHeight="1" x14ac:dyDescent="0.2"/>
    <row r="121" spans="1:6" s="1" customFormat="1" ht="22.5" customHeight="1" x14ac:dyDescent="0.2">
      <c r="A121" s="56"/>
      <c r="B121" s="56" t="s">
        <v>132</v>
      </c>
      <c r="C121" s="57" t="s">
        <v>220</v>
      </c>
      <c r="D121" s="56"/>
      <c r="E121" s="56"/>
      <c r="F121" s="56"/>
    </row>
    <row r="122" spans="1:6" s="1" customFormat="1" ht="17.25" customHeight="1" x14ac:dyDescent="0.2">
      <c r="A122" s="58"/>
      <c r="B122" s="58" t="str">
        <f>CONCATENATE("Steuerfuss ",$C$7," der Gemeinde ",$C$5," vor Steuerfussausgleich")</f>
        <v>Steuerfuss 2017 der Gemeinde  vor Steuerfussausgleich</v>
      </c>
      <c r="C122" s="59" t="s">
        <v>156</v>
      </c>
      <c r="D122" s="59" t="s">
        <v>103</v>
      </c>
      <c r="E122" s="60" t="e">
        <f>VLOOKUP($C$5,Basis!B5:BC81,12,FALSE)</f>
        <v>#N/A</v>
      </c>
      <c r="F122" s="58"/>
    </row>
    <row r="123" spans="1:6" s="1" customFormat="1" ht="17.25" customHeight="1" x14ac:dyDescent="0.2">
      <c r="A123" s="58"/>
      <c r="B123" s="59" t="s">
        <v>133</v>
      </c>
      <c r="C123" s="59" t="s">
        <v>157</v>
      </c>
      <c r="D123" s="59" t="s">
        <v>103</v>
      </c>
      <c r="E123" s="61">
        <v>1.45</v>
      </c>
      <c r="F123" s="58"/>
    </row>
    <row r="124" spans="1:6" s="1" customFormat="1" ht="17.25" customHeight="1" x14ac:dyDescent="0.2">
      <c r="A124" s="58"/>
      <c r="B124" s="59" t="str">
        <f>CONCATENATE("Einwohnerzahl der Gemeinde ",$C$5," Ende ",$C$7-2)</f>
        <v>Einwohnerzahl der Gemeinde  Ende 2015</v>
      </c>
      <c r="C124" s="59" t="s">
        <v>158</v>
      </c>
      <c r="D124" s="59" t="s">
        <v>108</v>
      </c>
      <c r="E124" s="62" t="e">
        <f>VLOOKUP($C$5,Basis!$B$5:$BL$81,14,FALSE)</f>
        <v>#N/A</v>
      </c>
      <c r="F124" s="58"/>
    </row>
    <row r="125" spans="1:6" s="1" customFormat="1" ht="17.25" customHeight="1" x14ac:dyDescent="0.2">
      <c r="A125" s="58"/>
      <c r="B125" s="58" t="str">
        <f>CONCATENATE("Steuerkraft der Gemeinde ",$C$5)</f>
        <v xml:space="preserve">Steuerkraft der Gemeinde </v>
      </c>
      <c r="C125" s="59" t="s">
        <v>159</v>
      </c>
      <c r="D125" s="59" t="s">
        <v>105</v>
      </c>
      <c r="E125" s="63" t="e">
        <f>VLOOKUP($C$5,Basis!$B$5:$BL$81,47,FALSE)</f>
        <v>#N/A</v>
      </c>
      <c r="F125" s="58"/>
    </row>
    <row r="126" spans="1:6" s="4" customFormat="1" ht="22.5" customHeight="1" x14ac:dyDescent="0.2">
      <c r="A126" s="64"/>
      <c r="B126" s="64" t="str">
        <f>CONCATENATE("Definitiver Beitrag an die Gemeinde ",$C$5," aus dem partiellen Steuerfussausgleich ",$C$7)</f>
        <v>Definitiver Beitrag an die Gemeinde  aus dem partiellen Steuerfussausgleich 2017</v>
      </c>
      <c r="C126" s="64" t="s">
        <v>160</v>
      </c>
      <c r="D126" s="64" t="e">
        <f>IF(E126&gt;0,"Fr.","")</f>
        <v>#N/A</v>
      </c>
      <c r="E126" s="65" t="e">
        <f>IF(VLOOKUP($C$5,Basis!B5:BC81,8,FALSE)&gt;0,VLOOKUP($C$5,Basis!B5:BC81,8,FALSE),0)</f>
        <v>#N/A</v>
      </c>
      <c r="F126" s="64"/>
    </row>
    <row r="127" spans="1:6" ht="22.5" customHeight="1" thickBot="1" x14ac:dyDescent="0.25"/>
    <row r="128" spans="1:6" s="2" customFormat="1" ht="22.5" customHeight="1" thickBot="1" x14ac:dyDescent="0.25">
      <c r="A128" s="66"/>
      <c r="B128" s="66" t="s">
        <v>134</v>
      </c>
      <c r="C128" s="66"/>
      <c r="D128" s="66"/>
      <c r="E128" s="66"/>
      <c r="F128" s="66"/>
    </row>
    <row r="129" spans="1:6" ht="5.25" customHeight="1" x14ac:dyDescent="0.2"/>
    <row r="130" spans="1:6" s="4" customFormat="1" ht="22.5" customHeight="1" x14ac:dyDescent="0.2">
      <c r="A130" s="67"/>
      <c r="B130" s="67" t="str">
        <f>CONCATENATE("Definitiver Beitrag an die Gemeinde ",$C$5," aus dem Übergangsausgleich ",$C$7)</f>
        <v>Definitiver Beitrag an die Gemeinde  aus dem Übergangsausgleich 2017</v>
      </c>
      <c r="C130" s="67"/>
      <c r="D130" s="67" t="s">
        <v>105</v>
      </c>
      <c r="E130" s="68" t="e">
        <f>VLOOKUP($C$5,Basis!$B$5:$BL$81,10,FALSE)</f>
        <v>#N/A</v>
      </c>
      <c r="F130" s="67"/>
    </row>
    <row r="131" spans="1:6" hidden="1" x14ac:dyDescent="0.2"/>
    <row r="132" spans="1:6" hidden="1" x14ac:dyDescent="0.2"/>
    <row r="133" spans="1:6" hidden="1" x14ac:dyDescent="0.2"/>
    <row r="134" spans="1:6" hidden="1" x14ac:dyDescent="0.2"/>
    <row r="135" spans="1:6" hidden="1" x14ac:dyDescent="0.2"/>
    <row r="136" spans="1:6" hidden="1" x14ac:dyDescent="0.2"/>
    <row r="137" spans="1:6" hidden="1" x14ac:dyDescent="0.2"/>
    <row r="138" spans="1:6" hidden="1" x14ac:dyDescent="0.2"/>
    <row r="139" spans="1:6" hidden="1" x14ac:dyDescent="0.2"/>
    <row r="140" spans="1:6" hidden="1" x14ac:dyDescent="0.2"/>
    <row r="141" spans="1:6" hidden="1" x14ac:dyDescent="0.2"/>
    <row r="142" spans="1:6" hidden="1" x14ac:dyDescent="0.2"/>
    <row r="143" spans="1:6" hidden="1" x14ac:dyDescent="0.2"/>
    <row r="144" spans="1:6" hidden="1" x14ac:dyDescent="0.2"/>
    <row r="145" spans="2:2" hidden="1" x14ac:dyDescent="0.2"/>
    <row r="146" spans="2:2" hidden="1" x14ac:dyDescent="0.2"/>
    <row r="147" spans="2:2" hidden="1" x14ac:dyDescent="0.2"/>
    <row r="148" spans="2:2" hidden="1" x14ac:dyDescent="0.2"/>
    <row r="149" spans="2:2" hidden="1" x14ac:dyDescent="0.2"/>
    <row r="150" spans="2:2" hidden="1" x14ac:dyDescent="0.2"/>
    <row r="151" spans="2:2" hidden="1" x14ac:dyDescent="0.2"/>
    <row r="152" spans="2:2" hidden="1" x14ac:dyDescent="0.2"/>
    <row r="153" spans="2:2" hidden="1" x14ac:dyDescent="0.2"/>
    <row r="154" spans="2:2" hidden="1" x14ac:dyDescent="0.2">
      <c r="B154" s="6" t="s">
        <v>39</v>
      </c>
    </row>
    <row r="155" spans="2:2" hidden="1" x14ac:dyDescent="0.2">
      <c r="B155" s="6" t="s">
        <v>57</v>
      </c>
    </row>
    <row r="156" spans="2:2" hidden="1" x14ac:dyDescent="0.2">
      <c r="B156" s="6" t="s">
        <v>90</v>
      </c>
    </row>
    <row r="157" spans="2:2" hidden="1" x14ac:dyDescent="0.2">
      <c r="B157" s="6" t="s">
        <v>32</v>
      </c>
    </row>
    <row r="158" spans="2:2" hidden="1" x14ac:dyDescent="0.2">
      <c r="B158" s="6" t="s">
        <v>51</v>
      </c>
    </row>
    <row r="159" spans="2:2" hidden="1" x14ac:dyDescent="0.2">
      <c r="B159" s="6" t="s">
        <v>34</v>
      </c>
    </row>
    <row r="160" spans="2:2" hidden="1" x14ac:dyDescent="0.2">
      <c r="B160" s="6" t="s">
        <v>60</v>
      </c>
    </row>
    <row r="161" spans="2:2" hidden="1" x14ac:dyDescent="0.2">
      <c r="B161" s="6" t="s">
        <v>23</v>
      </c>
    </row>
    <row r="162" spans="2:2" hidden="1" x14ac:dyDescent="0.2">
      <c r="B162" s="6" t="s">
        <v>33</v>
      </c>
    </row>
    <row r="163" spans="2:2" hidden="1" x14ac:dyDescent="0.2">
      <c r="B163" s="6" t="s">
        <v>46</v>
      </c>
    </row>
    <row r="164" spans="2:2" hidden="1" x14ac:dyDescent="0.2">
      <c r="B164" s="6" t="s">
        <v>75</v>
      </c>
    </row>
    <row r="165" spans="2:2" hidden="1" x14ac:dyDescent="0.2">
      <c r="B165" s="6" t="s">
        <v>83</v>
      </c>
    </row>
    <row r="166" spans="2:2" hidden="1" x14ac:dyDescent="0.2">
      <c r="B166" s="6" t="s">
        <v>35</v>
      </c>
    </row>
    <row r="167" spans="2:2" hidden="1" x14ac:dyDescent="0.2">
      <c r="B167" s="6" t="s">
        <v>69</v>
      </c>
    </row>
    <row r="168" spans="2:2" hidden="1" x14ac:dyDescent="0.2">
      <c r="B168" s="6" t="s">
        <v>26</v>
      </c>
    </row>
    <row r="169" spans="2:2" hidden="1" x14ac:dyDescent="0.2">
      <c r="B169" s="6" t="s">
        <v>40</v>
      </c>
    </row>
    <row r="170" spans="2:2" hidden="1" x14ac:dyDescent="0.2">
      <c r="B170" s="6" t="s">
        <v>66</v>
      </c>
    </row>
    <row r="171" spans="2:2" hidden="1" x14ac:dyDescent="0.2">
      <c r="B171" s="6" t="s">
        <v>82</v>
      </c>
    </row>
    <row r="172" spans="2:2" hidden="1" x14ac:dyDescent="0.2">
      <c r="B172" s="6" t="s">
        <v>54</v>
      </c>
    </row>
    <row r="173" spans="2:2" hidden="1" x14ac:dyDescent="0.2">
      <c r="B173" s="6" t="s">
        <v>92</v>
      </c>
    </row>
    <row r="174" spans="2:2" hidden="1" x14ac:dyDescent="0.2">
      <c r="B174" s="6" t="s">
        <v>44</v>
      </c>
    </row>
    <row r="175" spans="2:2" hidden="1" x14ac:dyDescent="0.2">
      <c r="B175" s="6" t="s">
        <v>21</v>
      </c>
    </row>
    <row r="176" spans="2:2" hidden="1" x14ac:dyDescent="0.2">
      <c r="B176" s="6" t="s">
        <v>62</v>
      </c>
    </row>
    <row r="177" spans="2:2" hidden="1" x14ac:dyDescent="0.2">
      <c r="B177" s="6" t="s">
        <v>89</v>
      </c>
    </row>
    <row r="178" spans="2:2" hidden="1" x14ac:dyDescent="0.2">
      <c r="B178" s="6" t="s">
        <v>45</v>
      </c>
    </row>
    <row r="179" spans="2:2" hidden="1" x14ac:dyDescent="0.2">
      <c r="B179" s="6" t="s">
        <v>18</v>
      </c>
    </row>
    <row r="180" spans="2:2" hidden="1" x14ac:dyDescent="0.2">
      <c r="B180" s="6" t="s">
        <v>74</v>
      </c>
    </row>
    <row r="181" spans="2:2" hidden="1" x14ac:dyDescent="0.2">
      <c r="B181" s="6" t="s">
        <v>79</v>
      </c>
    </row>
    <row r="182" spans="2:2" hidden="1" x14ac:dyDescent="0.2">
      <c r="B182" s="6" t="s">
        <v>61</v>
      </c>
    </row>
    <row r="183" spans="2:2" hidden="1" x14ac:dyDescent="0.2">
      <c r="B183" s="6" t="s">
        <v>78</v>
      </c>
    </row>
    <row r="184" spans="2:2" hidden="1" x14ac:dyDescent="0.2">
      <c r="B184" s="6" t="s">
        <v>71</v>
      </c>
    </row>
    <row r="185" spans="2:2" hidden="1" x14ac:dyDescent="0.2">
      <c r="B185" s="6" t="s">
        <v>76</v>
      </c>
    </row>
    <row r="186" spans="2:2" hidden="1" x14ac:dyDescent="0.2">
      <c r="B186" s="6" t="s">
        <v>38</v>
      </c>
    </row>
    <row r="187" spans="2:2" hidden="1" x14ac:dyDescent="0.2">
      <c r="B187" s="6" t="s">
        <v>53</v>
      </c>
    </row>
    <row r="188" spans="2:2" hidden="1" x14ac:dyDescent="0.2">
      <c r="B188" s="6" t="s">
        <v>20</v>
      </c>
    </row>
    <row r="189" spans="2:2" hidden="1" x14ac:dyDescent="0.2">
      <c r="B189" s="6" t="s">
        <v>77</v>
      </c>
    </row>
    <row r="190" spans="2:2" hidden="1" x14ac:dyDescent="0.2">
      <c r="B190" s="6" t="s">
        <v>19</v>
      </c>
    </row>
    <row r="191" spans="2:2" hidden="1" x14ac:dyDescent="0.2">
      <c r="B191" s="6" t="s">
        <v>73</v>
      </c>
    </row>
    <row r="192" spans="2:2" hidden="1" x14ac:dyDescent="0.2">
      <c r="B192" s="6" t="s">
        <v>68</v>
      </c>
    </row>
    <row r="193" spans="2:2" hidden="1" x14ac:dyDescent="0.2">
      <c r="B193" s="6" t="s">
        <v>87</v>
      </c>
    </row>
    <row r="194" spans="2:2" hidden="1" x14ac:dyDescent="0.2">
      <c r="B194" s="6" t="s">
        <v>88</v>
      </c>
    </row>
    <row r="195" spans="2:2" hidden="1" x14ac:dyDescent="0.2">
      <c r="B195" s="6" t="s">
        <v>86</v>
      </c>
    </row>
    <row r="196" spans="2:2" hidden="1" x14ac:dyDescent="0.2">
      <c r="B196" s="6" t="s">
        <v>72</v>
      </c>
    </row>
    <row r="197" spans="2:2" hidden="1" x14ac:dyDescent="0.2">
      <c r="B197" s="6" t="s">
        <v>41</v>
      </c>
    </row>
    <row r="198" spans="2:2" hidden="1" x14ac:dyDescent="0.2">
      <c r="B198" s="6" t="s">
        <v>80</v>
      </c>
    </row>
    <row r="199" spans="2:2" hidden="1" x14ac:dyDescent="0.2">
      <c r="B199" s="6" t="s">
        <v>52</v>
      </c>
    </row>
    <row r="200" spans="2:2" hidden="1" x14ac:dyDescent="0.2">
      <c r="B200" s="6" t="s">
        <v>56</v>
      </c>
    </row>
    <row r="201" spans="2:2" hidden="1" x14ac:dyDescent="0.2">
      <c r="B201" s="6" t="s">
        <v>65</v>
      </c>
    </row>
    <row r="202" spans="2:2" hidden="1" x14ac:dyDescent="0.2">
      <c r="B202" s="6" t="s">
        <v>37</v>
      </c>
    </row>
    <row r="203" spans="2:2" hidden="1" x14ac:dyDescent="0.2">
      <c r="B203" s="6" t="s">
        <v>30</v>
      </c>
    </row>
    <row r="204" spans="2:2" hidden="1" x14ac:dyDescent="0.2">
      <c r="B204" s="6" t="s">
        <v>28</v>
      </c>
    </row>
    <row r="205" spans="2:2" hidden="1" x14ac:dyDescent="0.2">
      <c r="B205" s="6" t="s">
        <v>27</v>
      </c>
    </row>
    <row r="206" spans="2:2" hidden="1" x14ac:dyDescent="0.2">
      <c r="B206" s="6" t="s">
        <v>42</v>
      </c>
    </row>
    <row r="207" spans="2:2" hidden="1" x14ac:dyDescent="0.2">
      <c r="B207" s="6" t="s">
        <v>49</v>
      </c>
    </row>
    <row r="208" spans="2:2" hidden="1" x14ac:dyDescent="0.2">
      <c r="B208" s="6" t="s">
        <v>59</v>
      </c>
    </row>
    <row r="209" spans="2:2" hidden="1" x14ac:dyDescent="0.2">
      <c r="B209" s="6" t="s">
        <v>64</v>
      </c>
    </row>
    <row r="210" spans="2:2" hidden="1" x14ac:dyDescent="0.2">
      <c r="B210" s="6" t="s">
        <v>43</v>
      </c>
    </row>
    <row r="211" spans="2:2" hidden="1" x14ac:dyDescent="0.2">
      <c r="B211" s="6" t="s">
        <v>47</v>
      </c>
    </row>
    <row r="212" spans="2:2" hidden="1" x14ac:dyDescent="0.2">
      <c r="B212" s="6" t="s">
        <v>16</v>
      </c>
    </row>
    <row r="213" spans="2:2" hidden="1" x14ac:dyDescent="0.2">
      <c r="B213" s="6" t="s">
        <v>31</v>
      </c>
    </row>
    <row r="214" spans="2:2" hidden="1" x14ac:dyDescent="0.2">
      <c r="B214" s="6" t="s">
        <v>22</v>
      </c>
    </row>
    <row r="215" spans="2:2" hidden="1" x14ac:dyDescent="0.2">
      <c r="B215" s="6" t="s">
        <v>29</v>
      </c>
    </row>
    <row r="216" spans="2:2" hidden="1" x14ac:dyDescent="0.2">
      <c r="B216" s="6" t="s">
        <v>24</v>
      </c>
    </row>
    <row r="217" spans="2:2" hidden="1" x14ac:dyDescent="0.2">
      <c r="B217" s="6" t="s">
        <v>25</v>
      </c>
    </row>
    <row r="218" spans="2:2" hidden="1" x14ac:dyDescent="0.2">
      <c r="B218" s="6" t="s">
        <v>63</v>
      </c>
    </row>
    <row r="219" spans="2:2" hidden="1" x14ac:dyDescent="0.2">
      <c r="B219" s="6" t="s">
        <v>81</v>
      </c>
    </row>
    <row r="220" spans="2:2" hidden="1" x14ac:dyDescent="0.2">
      <c r="B220" s="6" t="s">
        <v>50</v>
      </c>
    </row>
    <row r="221" spans="2:2" hidden="1" x14ac:dyDescent="0.2">
      <c r="B221" s="6" t="s">
        <v>91</v>
      </c>
    </row>
    <row r="222" spans="2:2" hidden="1" x14ac:dyDescent="0.2">
      <c r="B222" s="6" t="s">
        <v>55</v>
      </c>
    </row>
    <row r="223" spans="2:2" hidden="1" x14ac:dyDescent="0.2">
      <c r="B223" s="6" t="s">
        <v>48</v>
      </c>
    </row>
    <row r="224" spans="2:2" hidden="1" x14ac:dyDescent="0.2">
      <c r="B224" s="6" t="s">
        <v>70</v>
      </c>
    </row>
    <row r="225" spans="2:2" hidden="1" x14ac:dyDescent="0.2">
      <c r="B225" s="6" t="s">
        <v>58</v>
      </c>
    </row>
    <row r="226" spans="2:2" hidden="1" x14ac:dyDescent="0.2">
      <c r="B226" s="6" t="s">
        <v>36</v>
      </c>
    </row>
    <row r="227" spans="2:2" hidden="1" x14ac:dyDescent="0.2">
      <c r="B227" s="6" t="s">
        <v>84</v>
      </c>
    </row>
    <row r="228" spans="2:2" hidden="1" x14ac:dyDescent="0.2">
      <c r="B228" s="6" t="s">
        <v>67</v>
      </c>
    </row>
    <row r="229" spans="2:2" hidden="1" x14ac:dyDescent="0.2">
      <c r="B229" s="6" t="s">
        <v>17</v>
      </c>
    </row>
    <row r="230" spans="2:2" hidden="1" x14ac:dyDescent="0.2">
      <c r="B230" s="6" t="s">
        <v>85</v>
      </c>
    </row>
  </sheetData>
  <sheetProtection algorithmName="SHA-512" hashValue="8VozItfiZNAtAXr8QwmHkmZ6I7Y60SEWbj/Gw3z/M0YEw2IDBmue8zNm+3TqKiAxd6oRsXE3YFlYsV4Ujvq6XA==" saltValue="S6znUrXS85HKean/IcQqkw==" spinCount="100000" sheet="1" objects="1" scenarios="1" selectLockedCells="1"/>
  <sortState ref="B151:B227">
    <sortCondition ref="B151:B227"/>
  </sortState>
  <dataValidations count="1">
    <dataValidation type="list" allowBlank="1" showInputMessage="1" showErrorMessage="1" sqref="C5">
      <formula1>$B$154:$B$230</formula1>
    </dataValidation>
  </dataValidations>
  <pageMargins left="0.23622047244094491" right="0.19685039370078741" top="0.19685039370078741" bottom="0.3" header="0.19685039370078741" footer="0.15748031496062992"/>
  <pageSetup paperSize="9" scale="70" fitToHeight="0" orientation="landscape" r:id="rId1"/>
  <headerFooter>
    <oddFooter>&amp;C&amp;8Seite - &amp;P -</oddFooter>
  </headerFooter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6"/>
  <sheetViews>
    <sheetView workbookViewId="0">
      <pane xSplit="2" ySplit="4" topLeftCell="C44" activePane="bottomRight" state="frozen"/>
      <selection pane="topRight" activeCell="C1" sqref="C1"/>
      <selection pane="bottomLeft" activeCell="A5" sqref="A5"/>
      <selection pane="bottomRight"/>
    </sheetView>
  </sheetViews>
  <sheetFormatPr baseColWidth="10" defaultColWidth="0" defaultRowHeight="11.25" zeroHeight="1" x14ac:dyDescent="0.2"/>
  <cols>
    <col min="1" max="1" width="3.42578125" style="134" bestFit="1" customWidth="1"/>
    <col min="2" max="2" width="17.85546875" style="184" bestFit="1" customWidth="1"/>
    <col min="3" max="3" width="11.140625" style="134" customWidth="1"/>
    <col min="4" max="5" width="9.5703125" style="134" customWidth="1"/>
    <col min="6" max="6" width="9.5703125" style="134" bestFit="1" customWidth="1"/>
    <col min="7" max="8" width="8.7109375" style="134" bestFit="1" customWidth="1"/>
    <col min="9" max="9" width="7.85546875" style="134" bestFit="1" customWidth="1"/>
    <col min="10" max="10" width="6.42578125" style="134" bestFit="1" customWidth="1"/>
    <col min="11" max="11" width="7.85546875" style="134" bestFit="1" customWidth="1"/>
    <col min="12" max="13" width="5.140625" style="134" customWidth="1"/>
    <col min="14" max="15" width="7.42578125" style="134" customWidth="1"/>
    <col min="16" max="16" width="10.42578125" style="134" customWidth="1"/>
    <col min="17" max="17" width="7.28515625" style="134" customWidth="1"/>
    <col min="18" max="18" width="9.5703125" style="134" customWidth="1"/>
    <col min="19" max="19" width="10.42578125" style="134" customWidth="1"/>
    <col min="20" max="22" width="7.28515625" style="134" customWidth="1"/>
    <col min="23" max="25" width="11.7109375" style="134" customWidth="1"/>
    <col min="26" max="26" width="7.85546875" style="134" customWidth="1"/>
    <col min="27" max="31" width="7.140625" style="134" customWidth="1"/>
    <col min="32" max="32" width="9.42578125" style="134" customWidth="1"/>
    <col min="33" max="33" width="7.85546875" style="134" customWidth="1"/>
    <col min="34" max="38" width="7.140625" style="134" customWidth="1"/>
    <col min="39" max="39" width="9.42578125" style="134" customWidth="1"/>
    <col min="40" max="40" width="9" style="134" customWidth="1"/>
    <col min="41" max="45" width="7.140625" style="134" customWidth="1"/>
    <col min="46" max="47" width="9.42578125" style="134" customWidth="1"/>
    <col min="48" max="48" width="5.42578125" style="134" customWidth="1"/>
    <col min="49" max="53" width="11.5703125" style="134" customWidth="1"/>
    <col min="54" max="56" width="7.85546875" style="134" customWidth="1"/>
    <col min="57" max="61" width="9.42578125" style="134" customWidth="1"/>
    <col min="62" max="62" width="10.42578125" style="134" bestFit="1" customWidth="1"/>
    <col min="63" max="63" width="10.5703125" style="134" bestFit="1" customWidth="1"/>
    <col min="64" max="64" width="7.28515625" style="134" customWidth="1"/>
    <col min="65" max="16384" width="11.42578125" style="134" hidden="1"/>
  </cols>
  <sheetData>
    <row r="1" spans="1:64" s="11" customFormat="1" ht="15" x14ac:dyDescent="0.25">
      <c r="A1" s="11" t="s">
        <v>261</v>
      </c>
      <c r="B1" s="96"/>
      <c r="E1" s="153">
        <v>4</v>
      </c>
      <c r="F1" s="153">
        <v>5</v>
      </c>
      <c r="G1" s="153">
        <v>6</v>
      </c>
      <c r="H1" s="153">
        <v>7</v>
      </c>
      <c r="I1" s="153">
        <v>8</v>
      </c>
      <c r="J1" s="153"/>
      <c r="K1" s="153">
        <v>10</v>
      </c>
      <c r="L1" s="153">
        <v>11</v>
      </c>
      <c r="M1" s="153">
        <v>12</v>
      </c>
      <c r="N1" s="153">
        <v>13</v>
      </c>
      <c r="O1" s="153">
        <v>14</v>
      </c>
      <c r="P1" s="153">
        <v>15</v>
      </c>
      <c r="Q1" s="153">
        <v>16</v>
      </c>
      <c r="R1" s="153">
        <v>17</v>
      </c>
      <c r="S1" s="153">
        <v>18</v>
      </c>
      <c r="T1" s="153">
        <v>19</v>
      </c>
      <c r="U1" s="153">
        <v>20</v>
      </c>
      <c r="V1" s="153">
        <v>21</v>
      </c>
      <c r="W1" s="153">
        <v>22</v>
      </c>
      <c r="X1" s="153">
        <v>23</v>
      </c>
      <c r="Y1" s="153">
        <v>24</v>
      </c>
      <c r="Z1" s="153">
        <v>25</v>
      </c>
      <c r="AA1" s="153">
        <v>26</v>
      </c>
      <c r="AB1" s="153">
        <v>27</v>
      </c>
      <c r="AC1" s="153">
        <v>28</v>
      </c>
      <c r="AD1" s="153">
        <v>29</v>
      </c>
      <c r="AE1" s="153">
        <v>30</v>
      </c>
      <c r="AF1" s="153">
        <v>31</v>
      </c>
      <c r="AG1" s="153">
        <v>32</v>
      </c>
      <c r="AH1" s="153">
        <v>33</v>
      </c>
      <c r="AI1" s="153">
        <v>34</v>
      </c>
      <c r="AJ1" s="153">
        <v>35</v>
      </c>
      <c r="AK1" s="153">
        <v>36</v>
      </c>
      <c r="AL1" s="153">
        <v>37</v>
      </c>
      <c r="AM1" s="153">
        <v>38</v>
      </c>
      <c r="AN1" s="153">
        <v>39</v>
      </c>
      <c r="AO1" s="153">
        <v>40</v>
      </c>
      <c r="AP1" s="153">
        <v>41</v>
      </c>
      <c r="AQ1" s="153">
        <v>42</v>
      </c>
      <c r="AR1" s="153">
        <v>43</v>
      </c>
      <c r="AS1" s="153">
        <v>44</v>
      </c>
      <c r="AT1" s="153">
        <v>45</v>
      </c>
      <c r="AU1" s="153">
        <v>46</v>
      </c>
      <c r="AV1" s="153">
        <v>47</v>
      </c>
      <c r="AW1" s="153">
        <v>48</v>
      </c>
      <c r="AX1" s="153">
        <v>49</v>
      </c>
      <c r="AY1" s="153">
        <v>50</v>
      </c>
      <c r="AZ1" s="153">
        <v>51</v>
      </c>
      <c r="BA1" s="153">
        <v>52</v>
      </c>
      <c r="BB1" s="153">
        <v>53</v>
      </c>
      <c r="BC1" s="153">
        <v>54</v>
      </c>
      <c r="BD1" s="153">
        <v>55</v>
      </c>
      <c r="BE1" s="153">
        <v>56</v>
      </c>
      <c r="BF1" s="153">
        <v>57</v>
      </c>
      <c r="BG1" s="153">
        <v>58</v>
      </c>
      <c r="BH1" s="153">
        <v>59</v>
      </c>
      <c r="BI1" s="153">
        <v>60</v>
      </c>
      <c r="BJ1" s="153">
        <v>61</v>
      </c>
      <c r="BK1" s="153">
        <v>62</v>
      </c>
      <c r="BL1" s="153">
        <v>63</v>
      </c>
    </row>
    <row r="2" spans="1:64" s="98" customFormat="1" ht="12.75" x14ac:dyDescent="0.2">
      <c r="A2" s="98" t="s">
        <v>143</v>
      </c>
      <c r="B2" s="99"/>
      <c r="O2" s="154"/>
      <c r="T2" s="154"/>
      <c r="U2" s="154"/>
      <c r="V2" s="154"/>
      <c r="W2" s="154"/>
      <c r="Z2" s="100"/>
      <c r="AA2" s="100"/>
      <c r="AB2" s="100"/>
      <c r="AC2" s="100"/>
      <c r="AD2" s="100"/>
      <c r="AE2" s="100"/>
      <c r="AF2" s="100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00"/>
      <c r="AW2" s="154"/>
      <c r="AX2" s="100"/>
      <c r="AY2" s="100"/>
      <c r="AZ2" s="100"/>
      <c r="BA2" s="100"/>
      <c r="BB2" s="100"/>
      <c r="BC2" s="100"/>
      <c r="BD2" s="100"/>
      <c r="BE2" s="154"/>
      <c r="BF2" s="100"/>
      <c r="BG2" s="100"/>
      <c r="BH2" s="100"/>
      <c r="BI2" s="100"/>
      <c r="BJ2" s="100"/>
      <c r="BK2" s="100"/>
      <c r="BL2" s="154"/>
    </row>
    <row r="3" spans="1:64" x14ac:dyDescent="0.2">
      <c r="A3" s="101"/>
      <c r="B3" s="102"/>
      <c r="C3" s="103" t="s">
        <v>144</v>
      </c>
      <c r="D3" s="104"/>
      <c r="E3" s="104"/>
      <c r="F3" s="104"/>
      <c r="G3" s="105"/>
      <c r="H3" s="105"/>
      <c r="I3" s="104"/>
      <c r="J3" s="104"/>
      <c r="K3" s="106"/>
      <c r="L3" s="107" t="s">
        <v>145</v>
      </c>
      <c r="M3" s="108"/>
      <c r="N3" s="108"/>
      <c r="O3" s="108"/>
      <c r="P3" s="109" t="s">
        <v>146</v>
      </c>
      <c r="Q3" s="105"/>
      <c r="R3" s="105"/>
      <c r="S3" s="105"/>
      <c r="T3" s="109" t="s">
        <v>147</v>
      </c>
      <c r="U3" s="105"/>
      <c r="V3" s="105"/>
      <c r="W3" s="109" t="s">
        <v>148</v>
      </c>
      <c r="X3" s="105"/>
      <c r="Y3" s="105"/>
      <c r="Z3" s="109" t="s">
        <v>224</v>
      </c>
      <c r="AA3" s="105"/>
      <c r="AB3" s="105"/>
      <c r="AC3" s="105"/>
      <c r="AD3" s="105"/>
      <c r="AE3" s="105"/>
      <c r="AF3" s="105"/>
      <c r="AG3" s="109" t="s">
        <v>225</v>
      </c>
      <c r="AH3" s="105"/>
      <c r="AI3" s="105"/>
      <c r="AJ3" s="105"/>
      <c r="AK3" s="105"/>
      <c r="AL3" s="105"/>
      <c r="AM3" s="105"/>
      <c r="AN3" s="109" t="s">
        <v>226</v>
      </c>
      <c r="AO3" s="105"/>
      <c r="AP3" s="105"/>
      <c r="AQ3" s="105"/>
      <c r="AR3" s="105"/>
      <c r="AS3" s="105"/>
      <c r="AT3" s="105"/>
      <c r="AU3" s="105"/>
      <c r="AV3" s="109" t="s">
        <v>221</v>
      </c>
      <c r="AW3" s="199"/>
      <c r="AX3" s="105" t="s">
        <v>146</v>
      </c>
      <c r="AY3" s="105"/>
      <c r="AZ3" s="105"/>
      <c r="BA3" s="105"/>
      <c r="BB3" s="105"/>
      <c r="BC3" s="105"/>
      <c r="BD3" s="199"/>
      <c r="BE3" s="105" t="s">
        <v>147</v>
      </c>
      <c r="BF3" s="105"/>
      <c r="BG3" s="105"/>
      <c r="BH3" s="105"/>
      <c r="BI3" s="199"/>
      <c r="BJ3" s="105" t="s">
        <v>227</v>
      </c>
      <c r="BK3" s="199"/>
      <c r="BL3" s="110"/>
    </row>
    <row r="4" spans="1:64" s="89" customFormat="1" ht="75.75" customHeight="1" x14ac:dyDescent="0.2">
      <c r="A4" s="83" t="s">
        <v>0</v>
      </c>
      <c r="B4" s="84" t="s">
        <v>1</v>
      </c>
      <c r="C4" s="85" t="s">
        <v>2</v>
      </c>
      <c r="D4" s="86" t="s">
        <v>3</v>
      </c>
      <c r="E4" s="86" t="s">
        <v>4</v>
      </c>
      <c r="F4" s="86" t="s">
        <v>5</v>
      </c>
      <c r="G4" s="111" t="s">
        <v>14</v>
      </c>
      <c r="H4" s="111" t="s">
        <v>15</v>
      </c>
      <c r="I4" s="86" t="s">
        <v>149</v>
      </c>
      <c r="J4" s="86"/>
      <c r="K4" s="87" t="s">
        <v>150</v>
      </c>
      <c r="L4" s="112" t="s">
        <v>228</v>
      </c>
      <c r="M4" s="111" t="s">
        <v>229</v>
      </c>
      <c r="N4" s="111" t="s">
        <v>230</v>
      </c>
      <c r="O4" s="111" t="s">
        <v>231</v>
      </c>
      <c r="P4" s="112" t="s">
        <v>232</v>
      </c>
      <c r="Q4" s="111" t="s">
        <v>233</v>
      </c>
      <c r="R4" s="111" t="s">
        <v>234</v>
      </c>
      <c r="S4" s="111" t="s">
        <v>235</v>
      </c>
      <c r="T4" s="112" t="s">
        <v>236</v>
      </c>
      <c r="U4" s="111" t="s">
        <v>237</v>
      </c>
      <c r="V4" s="111" t="s">
        <v>238</v>
      </c>
      <c r="W4" s="112" t="s">
        <v>151</v>
      </c>
      <c r="X4" s="111" t="s">
        <v>6</v>
      </c>
      <c r="Y4" s="114" t="s">
        <v>7</v>
      </c>
      <c r="Z4" s="112" t="s">
        <v>8</v>
      </c>
      <c r="AA4" s="111" t="s">
        <v>9</v>
      </c>
      <c r="AB4" s="111" t="s">
        <v>10</v>
      </c>
      <c r="AC4" s="111" t="s">
        <v>11</v>
      </c>
      <c r="AD4" s="111" t="s">
        <v>152</v>
      </c>
      <c r="AE4" s="114" t="s">
        <v>153</v>
      </c>
      <c r="AF4" s="113" t="s">
        <v>12</v>
      </c>
      <c r="AG4" s="112" t="s">
        <v>8</v>
      </c>
      <c r="AH4" s="111" t="s">
        <v>9</v>
      </c>
      <c r="AI4" s="111" t="s">
        <v>10</v>
      </c>
      <c r="AJ4" s="111" t="s">
        <v>11</v>
      </c>
      <c r="AK4" s="111" t="s">
        <v>152</v>
      </c>
      <c r="AL4" s="114" t="s">
        <v>153</v>
      </c>
      <c r="AM4" s="113" t="s">
        <v>12</v>
      </c>
      <c r="AN4" s="112" t="s">
        <v>8</v>
      </c>
      <c r="AO4" s="111" t="s">
        <v>9</v>
      </c>
      <c r="AP4" s="111" t="s">
        <v>10</v>
      </c>
      <c r="AQ4" s="111" t="s">
        <v>11</v>
      </c>
      <c r="AR4" s="111" t="s">
        <v>152</v>
      </c>
      <c r="AS4" s="114" t="s">
        <v>153</v>
      </c>
      <c r="AT4" s="113" t="s">
        <v>12</v>
      </c>
      <c r="AU4" s="112" t="s">
        <v>154</v>
      </c>
      <c r="AV4" s="112" t="s">
        <v>13</v>
      </c>
      <c r="AW4" s="114" t="s">
        <v>155</v>
      </c>
      <c r="AX4" s="200" t="s">
        <v>239</v>
      </c>
      <c r="AY4" s="200" t="s">
        <v>240</v>
      </c>
      <c r="AZ4" s="200" t="s">
        <v>241</v>
      </c>
      <c r="BA4" s="200" t="s">
        <v>242</v>
      </c>
      <c r="BB4" s="200" t="s">
        <v>243</v>
      </c>
      <c r="BC4" s="200" t="s">
        <v>244</v>
      </c>
      <c r="BD4" s="218" t="s">
        <v>245</v>
      </c>
      <c r="BE4" s="200" t="s">
        <v>246</v>
      </c>
      <c r="BF4" s="200" t="s">
        <v>247</v>
      </c>
      <c r="BG4" s="200" t="s">
        <v>248</v>
      </c>
      <c r="BH4" s="200" t="s">
        <v>249</v>
      </c>
      <c r="BI4" s="201" t="s">
        <v>222</v>
      </c>
      <c r="BJ4" s="200" t="s">
        <v>250</v>
      </c>
      <c r="BK4" s="200" t="s">
        <v>223</v>
      </c>
      <c r="BL4" s="88" t="s">
        <v>251</v>
      </c>
    </row>
    <row r="5" spans="1:64" x14ac:dyDescent="0.2">
      <c r="A5" s="90">
        <v>1</v>
      </c>
      <c r="B5" s="115" t="s">
        <v>16</v>
      </c>
      <c r="C5" s="155">
        <v>0</v>
      </c>
      <c r="D5" s="155">
        <v>0</v>
      </c>
      <c r="E5" s="155">
        <v>0</v>
      </c>
      <c r="F5" s="155">
        <v>12275500</v>
      </c>
      <c r="G5" s="155">
        <v>10039300</v>
      </c>
      <c r="H5" s="155">
        <v>6023600</v>
      </c>
      <c r="I5" s="156">
        <v>0</v>
      </c>
      <c r="J5" s="156"/>
      <c r="K5" s="157">
        <v>0</v>
      </c>
      <c r="L5" s="158">
        <v>1.44</v>
      </c>
      <c r="M5" s="159">
        <v>1.44</v>
      </c>
      <c r="N5" s="116">
        <v>75310</v>
      </c>
      <c r="O5" s="116">
        <v>75538</v>
      </c>
      <c r="P5" s="160">
        <v>10111.6638</v>
      </c>
      <c r="Q5" s="116">
        <v>1726</v>
      </c>
      <c r="R5" s="161">
        <v>5635.0741770520799</v>
      </c>
      <c r="S5" s="162">
        <v>3937.90274</v>
      </c>
      <c r="T5" s="119">
        <v>6589</v>
      </c>
      <c r="U5" s="117">
        <v>201</v>
      </c>
      <c r="V5" s="126">
        <v>1.0900000000000001</v>
      </c>
      <c r="W5" s="120">
        <v>3866372.7</v>
      </c>
      <c r="X5" s="121">
        <v>30324112.010000002</v>
      </c>
      <c r="Y5" s="137">
        <v>11820622.299999986</v>
      </c>
      <c r="Z5" s="123">
        <v>2755.2194155040925</v>
      </c>
      <c r="AA5" s="123">
        <v>203.12627207542158</v>
      </c>
      <c r="AB5" s="123">
        <v>479.73469857920594</v>
      </c>
      <c r="AC5" s="123">
        <v>159.44788341718254</v>
      </c>
      <c r="AD5" s="123">
        <v>92.880740273536048</v>
      </c>
      <c r="AE5" s="123">
        <v>87.969670030540442</v>
      </c>
      <c r="AF5" s="124">
        <v>3778.3786798799788</v>
      </c>
      <c r="AG5" s="123">
        <v>2769.458896053814</v>
      </c>
      <c r="AH5" s="123">
        <v>229.21827424607483</v>
      </c>
      <c r="AI5" s="123">
        <v>562.56016177288245</v>
      </c>
      <c r="AJ5" s="123">
        <v>167.02223719273599</v>
      </c>
      <c r="AK5" s="123">
        <v>74.209902300828716</v>
      </c>
      <c r="AL5" s="123">
        <v>82.887963011993946</v>
      </c>
      <c r="AM5" s="124">
        <v>3885.3574345783304</v>
      </c>
      <c r="AN5" s="125">
        <v>2762.3391557789532</v>
      </c>
      <c r="AO5" s="126">
        <v>216.1722731607482</v>
      </c>
      <c r="AP5" s="108">
        <v>521.14743017604417</v>
      </c>
      <c r="AQ5" s="108">
        <v>163.23506030495926</v>
      </c>
      <c r="AR5" s="126">
        <v>83.545321287182389</v>
      </c>
      <c r="AS5" s="127">
        <v>85.428816521267194</v>
      </c>
      <c r="AT5" s="124">
        <v>3831.8680572291546</v>
      </c>
      <c r="AU5" s="120">
        <v>3299.6631030996</v>
      </c>
      <c r="AV5" s="128">
        <v>0.96</v>
      </c>
      <c r="AW5" s="129">
        <v>-0.80645347343130014</v>
      </c>
      <c r="AX5" s="211">
        <v>-0.68618782446621518</v>
      </c>
      <c r="AY5" s="212">
        <v>-1.3459059057432247E-2</v>
      </c>
      <c r="AZ5" s="212">
        <v>0.16289881824007246</v>
      </c>
      <c r="BA5" s="212">
        <v>-5.1195270646294033E-2</v>
      </c>
      <c r="BB5" s="202">
        <v>1.1521236844298488</v>
      </c>
      <c r="BC5" s="126">
        <v>249</v>
      </c>
      <c r="BD5" s="131">
        <v>0.9</v>
      </c>
      <c r="BE5" s="126">
        <v>18854.510251737367</v>
      </c>
      <c r="BF5" s="126">
        <v>11000</v>
      </c>
      <c r="BG5" s="130">
        <v>0.65</v>
      </c>
      <c r="BH5" s="130">
        <v>0.65</v>
      </c>
      <c r="BI5" s="131">
        <v>0.2</v>
      </c>
      <c r="BJ5" s="128">
        <v>0.6</v>
      </c>
      <c r="BK5" s="130">
        <v>0.2</v>
      </c>
      <c r="BL5" s="163">
        <v>1.0209999999999999</v>
      </c>
    </row>
    <row r="6" spans="1:64" x14ac:dyDescent="0.2">
      <c r="A6" s="91">
        <v>2</v>
      </c>
      <c r="B6" s="132" t="s">
        <v>17</v>
      </c>
      <c r="C6" s="155">
        <v>3632100</v>
      </c>
      <c r="D6" s="155">
        <v>0</v>
      </c>
      <c r="E6" s="155">
        <v>273800</v>
      </c>
      <c r="F6" s="155">
        <v>98100</v>
      </c>
      <c r="G6" s="97"/>
      <c r="H6" s="97"/>
      <c r="I6" s="164">
        <v>0</v>
      </c>
      <c r="J6" s="164"/>
      <c r="K6" s="165">
        <v>0</v>
      </c>
      <c r="L6" s="166">
        <v>1.45</v>
      </c>
      <c r="M6" s="118">
        <v>1.45</v>
      </c>
      <c r="N6" s="133">
        <v>9576</v>
      </c>
      <c r="O6" s="133">
        <v>9652</v>
      </c>
      <c r="P6" s="167">
        <v>1324.7964000000002</v>
      </c>
      <c r="Q6" s="133">
        <v>0</v>
      </c>
      <c r="R6" s="168">
        <v>0</v>
      </c>
      <c r="S6" s="169">
        <v>1219.88761</v>
      </c>
      <c r="T6" s="135">
        <v>1080</v>
      </c>
      <c r="U6" s="97">
        <v>30</v>
      </c>
      <c r="V6" s="139">
        <v>1.05</v>
      </c>
      <c r="W6" s="136">
        <v>97826.5</v>
      </c>
      <c r="X6" s="123">
        <v>1648661.7200000004</v>
      </c>
      <c r="Y6" s="137">
        <v>1407233.5999999999</v>
      </c>
      <c r="Z6" s="123">
        <v>2229.4098007236407</v>
      </c>
      <c r="AA6" s="123">
        <v>70.638324979114444</v>
      </c>
      <c r="AB6" s="123">
        <v>181.61343984962403</v>
      </c>
      <c r="AC6" s="123">
        <v>131.45657255360067</v>
      </c>
      <c r="AD6" s="123">
        <v>93.330148287385128</v>
      </c>
      <c r="AE6" s="123">
        <v>90.425193191311621</v>
      </c>
      <c r="AF6" s="122">
        <v>2796.8734795846772</v>
      </c>
      <c r="AG6" s="123">
        <v>2234.8322006613694</v>
      </c>
      <c r="AH6" s="123">
        <v>66.431501243265657</v>
      </c>
      <c r="AI6" s="123">
        <v>183.01706382096975</v>
      </c>
      <c r="AJ6" s="123">
        <v>135.05713020192789</v>
      </c>
      <c r="AK6" s="123">
        <v>64.80405615416494</v>
      </c>
      <c r="AL6" s="123">
        <v>95.745037297969333</v>
      </c>
      <c r="AM6" s="122">
        <v>2779.8869893796668</v>
      </c>
      <c r="AN6" s="138">
        <v>2232.1210006925048</v>
      </c>
      <c r="AO6" s="139">
        <v>68.53491311119005</v>
      </c>
      <c r="AP6" s="140">
        <v>182.31525183529689</v>
      </c>
      <c r="AQ6" s="140">
        <v>133.25685137776429</v>
      </c>
      <c r="AR6" s="139">
        <v>79.067102220775041</v>
      </c>
      <c r="AS6" s="141">
        <v>93.085115244640477</v>
      </c>
      <c r="AT6" s="122">
        <v>2788.3802344821715</v>
      </c>
      <c r="AU6" s="136">
        <v>3299.6631030996</v>
      </c>
      <c r="AV6" s="142">
        <v>0.96</v>
      </c>
      <c r="AW6" s="143">
        <v>0</v>
      </c>
      <c r="AX6" s="213">
        <v>-0.6658704183601869</v>
      </c>
      <c r="AY6" s="214">
        <v>-2.9223629168351237E-2</v>
      </c>
      <c r="AZ6" s="214">
        <v>-7.3256926185722937E-2</v>
      </c>
      <c r="BA6" s="214">
        <v>-4.0188155278727176E-2</v>
      </c>
      <c r="BB6" s="203">
        <v>1.1521236844298488</v>
      </c>
      <c r="BC6" s="139">
        <v>249</v>
      </c>
      <c r="BD6" s="204">
        <v>0.9</v>
      </c>
      <c r="BE6" s="139">
        <v>18854.510251737367</v>
      </c>
      <c r="BF6" s="139">
        <v>11000</v>
      </c>
      <c r="BG6" s="205">
        <v>0.65</v>
      </c>
      <c r="BH6" s="205">
        <v>0.65</v>
      </c>
      <c r="BI6" s="204">
        <v>0.2</v>
      </c>
      <c r="BJ6" s="142">
        <v>0.6</v>
      </c>
      <c r="BK6" s="205">
        <v>0.2</v>
      </c>
      <c r="BL6" s="170"/>
    </row>
    <row r="7" spans="1:64" x14ac:dyDescent="0.2">
      <c r="A7" s="91">
        <v>3</v>
      </c>
      <c r="B7" s="132" t="s">
        <v>18</v>
      </c>
      <c r="C7" s="155">
        <v>415200</v>
      </c>
      <c r="D7" s="155">
        <v>433100</v>
      </c>
      <c r="E7" s="155">
        <v>267600</v>
      </c>
      <c r="F7" s="155">
        <v>0</v>
      </c>
      <c r="G7" s="97"/>
      <c r="H7" s="97"/>
      <c r="I7" s="164">
        <v>0</v>
      </c>
      <c r="J7" s="164"/>
      <c r="K7" s="165">
        <v>0</v>
      </c>
      <c r="L7" s="166">
        <v>1.45</v>
      </c>
      <c r="M7" s="118">
        <v>1.42</v>
      </c>
      <c r="N7" s="133">
        <v>1225</v>
      </c>
      <c r="O7" s="133">
        <v>1264</v>
      </c>
      <c r="P7" s="167">
        <v>697.4860000000001</v>
      </c>
      <c r="Q7" s="133">
        <v>2</v>
      </c>
      <c r="R7" s="168">
        <v>0</v>
      </c>
      <c r="S7" s="169">
        <v>907.13112999999998</v>
      </c>
      <c r="T7" s="135">
        <v>165</v>
      </c>
      <c r="U7" s="97">
        <v>1</v>
      </c>
      <c r="V7" s="139">
        <v>0.87</v>
      </c>
      <c r="W7" s="136">
        <v>84447.6</v>
      </c>
      <c r="X7" s="123">
        <v>75107.60000000002</v>
      </c>
      <c r="Y7" s="137">
        <v>105717.6</v>
      </c>
      <c r="Z7" s="123">
        <v>2519.2653340196321</v>
      </c>
      <c r="AA7" s="123">
        <v>53.337469387755107</v>
      </c>
      <c r="AB7" s="123">
        <v>48.529061224489801</v>
      </c>
      <c r="AC7" s="123">
        <v>141.43239357173539</v>
      </c>
      <c r="AD7" s="123">
        <v>77.810163265306116</v>
      </c>
      <c r="AE7" s="123">
        <v>-4.2505306122448978</v>
      </c>
      <c r="AF7" s="122">
        <v>2836.1238908566734</v>
      </c>
      <c r="AG7" s="123">
        <v>2421.6472083007075</v>
      </c>
      <c r="AH7" s="123">
        <v>51.270332278481007</v>
      </c>
      <c r="AI7" s="123">
        <v>42.737183544303797</v>
      </c>
      <c r="AJ7" s="123">
        <v>150.91308739104443</v>
      </c>
      <c r="AK7" s="123">
        <v>171.5460838607595</v>
      </c>
      <c r="AL7" s="123">
        <v>-16.831882911392405</v>
      </c>
      <c r="AM7" s="122">
        <v>2821.2820124639038</v>
      </c>
      <c r="AN7" s="138">
        <v>2470.4562711601698</v>
      </c>
      <c r="AO7" s="139">
        <v>52.303900833118057</v>
      </c>
      <c r="AP7" s="140">
        <v>45.633122384396799</v>
      </c>
      <c r="AQ7" s="140">
        <v>146.17274048138989</v>
      </c>
      <c r="AR7" s="139">
        <v>124.67812356303281</v>
      </c>
      <c r="AS7" s="141">
        <v>-10.541206761818652</v>
      </c>
      <c r="AT7" s="122">
        <v>2828.7029516602888</v>
      </c>
      <c r="AU7" s="136">
        <v>3299.6631030996</v>
      </c>
      <c r="AV7" s="142">
        <v>0.96</v>
      </c>
      <c r="AW7" s="143">
        <v>0</v>
      </c>
      <c r="AX7" s="213">
        <v>1.8156018118979271</v>
      </c>
      <c r="AY7" s="214">
        <v>-2.8131963268342254E-2</v>
      </c>
      <c r="AZ7" s="214">
        <v>-7.3256926185722937E-2</v>
      </c>
      <c r="BA7" s="214">
        <v>4.7458915536751717E-2</v>
      </c>
      <c r="BB7" s="203">
        <v>1.1521236844298488</v>
      </c>
      <c r="BC7" s="139">
        <v>249</v>
      </c>
      <c r="BD7" s="204">
        <v>0.9</v>
      </c>
      <c r="BE7" s="139">
        <v>18854.510251737367</v>
      </c>
      <c r="BF7" s="139">
        <v>11000</v>
      </c>
      <c r="BG7" s="205">
        <v>0.65</v>
      </c>
      <c r="BH7" s="205">
        <v>0.65</v>
      </c>
      <c r="BI7" s="204">
        <v>0.2</v>
      </c>
      <c r="BJ7" s="142">
        <v>0.6</v>
      </c>
      <c r="BK7" s="205">
        <v>0.2</v>
      </c>
      <c r="BL7" s="170"/>
    </row>
    <row r="8" spans="1:64" x14ac:dyDescent="0.2">
      <c r="A8" s="91">
        <v>4</v>
      </c>
      <c r="B8" s="132" t="s">
        <v>19</v>
      </c>
      <c r="C8" s="155">
        <v>805900</v>
      </c>
      <c r="D8" s="155">
        <v>638800</v>
      </c>
      <c r="E8" s="155">
        <v>290500</v>
      </c>
      <c r="F8" s="155">
        <v>0</v>
      </c>
      <c r="G8" s="97"/>
      <c r="H8" s="97"/>
      <c r="I8" s="164">
        <v>0</v>
      </c>
      <c r="J8" s="164"/>
      <c r="K8" s="165">
        <v>0</v>
      </c>
      <c r="L8" s="166">
        <v>1.42</v>
      </c>
      <c r="M8" s="118">
        <v>1.42</v>
      </c>
      <c r="N8" s="133">
        <v>1165</v>
      </c>
      <c r="O8" s="133">
        <v>1205</v>
      </c>
      <c r="P8" s="167">
        <v>854.995</v>
      </c>
      <c r="Q8" s="133">
        <v>0</v>
      </c>
      <c r="R8" s="168">
        <v>0</v>
      </c>
      <c r="S8" s="169">
        <v>1032.6098200000001</v>
      </c>
      <c r="T8" s="135">
        <v>160</v>
      </c>
      <c r="U8" s="97">
        <v>3</v>
      </c>
      <c r="V8" s="139">
        <v>0.88</v>
      </c>
      <c r="W8" s="136">
        <v>0</v>
      </c>
      <c r="X8" s="123">
        <v>43302.349999999991</v>
      </c>
      <c r="Y8" s="137">
        <v>139040.05000000002</v>
      </c>
      <c r="Z8" s="123">
        <v>2069.024832838662</v>
      </c>
      <c r="AA8" s="123">
        <v>54.312017167381967</v>
      </c>
      <c r="AB8" s="123">
        <v>43.593261802575107</v>
      </c>
      <c r="AC8" s="123">
        <v>130.59032043005988</v>
      </c>
      <c r="AD8" s="123">
        <v>49.578540772532186</v>
      </c>
      <c r="AE8" s="123">
        <v>95.534678111587979</v>
      </c>
      <c r="AF8" s="122">
        <v>2442.6336511227987</v>
      </c>
      <c r="AG8" s="123">
        <v>2140.5671039770832</v>
      </c>
      <c r="AH8" s="123">
        <v>43.023568464730289</v>
      </c>
      <c r="AI8" s="123">
        <v>63.573278008298757</v>
      </c>
      <c r="AJ8" s="123">
        <v>133.8037761189197</v>
      </c>
      <c r="AK8" s="123">
        <v>106.50311203319502</v>
      </c>
      <c r="AL8" s="123">
        <v>21.740746887966804</v>
      </c>
      <c r="AM8" s="122">
        <v>2509.2115854901945</v>
      </c>
      <c r="AN8" s="138">
        <v>2104.7959684078724</v>
      </c>
      <c r="AO8" s="139">
        <v>48.667792816056128</v>
      </c>
      <c r="AP8" s="140">
        <v>53.583269905436936</v>
      </c>
      <c r="AQ8" s="140">
        <v>132.19704827448979</v>
      </c>
      <c r="AR8" s="139">
        <v>78.040826402863601</v>
      </c>
      <c r="AS8" s="141">
        <v>58.637712499777393</v>
      </c>
      <c r="AT8" s="122">
        <v>2475.9226183064961</v>
      </c>
      <c r="AU8" s="136">
        <v>3299.6631030996</v>
      </c>
      <c r="AV8" s="142">
        <v>0.96</v>
      </c>
      <c r="AW8" s="143">
        <v>0</v>
      </c>
      <c r="AX8" s="213">
        <v>2.7597642264435827</v>
      </c>
      <c r="AY8" s="214">
        <v>-2.9223629168351237E-2</v>
      </c>
      <c r="AZ8" s="214">
        <v>-7.3256926185722937E-2</v>
      </c>
      <c r="BA8" s="214">
        <v>6.8103378442605098E-2</v>
      </c>
      <c r="BB8" s="203">
        <v>1.1521236844298488</v>
      </c>
      <c r="BC8" s="139">
        <v>249</v>
      </c>
      <c r="BD8" s="204">
        <v>0.9</v>
      </c>
      <c r="BE8" s="139">
        <v>18854.510251737367</v>
      </c>
      <c r="BF8" s="139">
        <v>11000</v>
      </c>
      <c r="BG8" s="205">
        <v>0.65</v>
      </c>
      <c r="BH8" s="205">
        <v>0.65</v>
      </c>
      <c r="BI8" s="204">
        <v>0.2</v>
      </c>
      <c r="BJ8" s="142">
        <v>0.6</v>
      </c>
      <c r="BK8" s="205">
        <v>0.2</v>
      </c>
      <c r="BL8" s="170"/>
    </row>
    <row r="9" spans="1:64" x14ac:dyDescent="0.2">
      <c r="A9" s="91">
        <v>5</v>
      </c>
      <c r="B9" s="132" t="s">
        <v>20</v>
      </c>
      <c r="C9" s="155">
        <v>0</v>
      </c>
      <c r="D9" s="155">
        <v>0</v>
      </c>
      <c r="E9" s="155">
        <v>0</v>
      </c>
      <c r="F9" s="155">
        <v>0</v>
      </c>
      <c r="G9" s="97"/>
      <c r="H9" s="97"/>
      <c r="I9" s="164">
        <v>0</v>
      </c>
      <c r="J9" s="164"/>
      <c r="K9" s="165">
        <v>0</v>
      </c>
      <c r="L9" s="166">
        <v>0.9</v>
      </c>
      <c r="M9" s="118">
        <v>0.87</v>
      </c>
      <c r="N9" s="133">
        <v>3596</v>
      </c>
      <c r="O9" s="133">
        <v>3561</v>
      </c>
      <c r="P9" s="167">
        <v>1006.7826</v>
      </c>
      <c r="Q9" s="133">
        <v>0</v>
      </c>
      <c r="R9" s="168">
        <v>1416.21516380151</v>
      </c>
      <c r="S9" s="169">
        <v>983.80480999999997</v>
      </c>
      <c r="T9" s="135">
        <v>457</v>
      </c>
      <c r="U9" s="97">
        <v>2</v>
      </c>
      <c r="V9" s="139">
        <v>0.82</v>
      </c>
      <c r="W9" s="136">
        <v>267877.05</v>
      </c>
      <c r="X9" s="123">
        <v>41187.399999999994</v>
      </c>
      <c r="Y9" s="137">
        <v>234733.25000000003</v>
      </c>
      <c r="Z9" s="123">
        <v>4930.5706932656085</v>
      </c>
      <c r="AA9" s="123">
        <v>39.816685205784204</v>
      </c>
      <c r="AB9" s="123">
        <v>221.84137931034482</v>
      </c>
      <c r="AC9" s="123">
        <v>189.42413008401235</v>
      </c>
      <c r="AD9" s="123">
        <v>69.629115684093435</v>
      </c>
      <c r="AE9" s="123">
        <v>132.07320634037819</v>
      </c>
      <c r="AF9" s="122">
        <v>5583.355209890221</v>
      </c>
      <c r="AG9" s="123">
        <v>5116.6335464487192</v>
      </c>
      <c r="AH9" s="123">
        <v>53.852316764953663</v>
      </c>
      <c r="AI9" s="123">
        <v>318.85043527099128</v>
      </c>
      <c r="AJ9" s="123">
        <v>198.03943760611497</v>
      </c>
      <c r="AK9" s="123">
        <v>136.73830384723391</v>
      </c>
      <c r="AL9" s="123">
        <v>529.93146588037064</v>
      </c>
      <c r="AM9" s="122">
        <v>6354.0455058183834</v>
      </c>
      <c r="AN9" s="138">
        <v>5023.6021198571634</v>
      </c>
      <c r="AO9" s="139">
        <v>46.834500985368933</v>
      </c>
      <c r="AP9" s="140">
        <v>270.34590729066804</v>
      </c>
      <c r="AQ9" s="140">
        <v>193.73178384506366</v>
      </c>
      <c r="AR9" s="139">
        <v>103.18370976566368</v>
      </c>
      <c r="AS9" s="141">
        <v>331.00233611037442</v>
      </c>
      <c r="AT9" s="122">
        <v>5968.7003578543017</v>
      </c>
      <c r="AU9" s="136">
        <v>3299.6631030996</v>
      </c>
      <c r="AV9" s="142">
        <v>0.96</v>
      </c>
      <c r="AW9" s="143">
        <v>-1</v>
      </c>
      <c r="AX9" s="213">
        <v>0.20489073497339672</v>
      </c>
      <c r="AY9" s="214">
        <v>-2.9223629168351237E-2</v>
      </c>
      <c r="AZ9" s="214">
        <v>-1.3905915752421527E-2</v>
      </c>
      <c r="BA9" s="214">
        <v>-1.7970282362634118E-2</v>
      </c>
      <c r="BB9" s="203">
        <v>1.1521236844298488</v>
      </c>
      <c r="BC9" s="139">
        <v>249</v>
      </c>
      <c r="BD9" s="204">
        <v>0.9</v>
      </c>
      <c r="BE9" s="139">
        <v>18854.510251737367</v>
      </c>
      <c r="BF9" s="139">
        <v>11000</v>
      </c>
      <c r="BG9" s="205">
        <v>0.65</v>
      </c>
      <c r="BH9" s="205">
        <v>0.65</v>
      </c>
      <c r="BI9" s="204">
        <v>0.2</v>
      </c>
      <c r="BJ9" s="142">
        <v>0.6</v>
      </c>
      <c r="BK9" s="205">
        <v>0.2</v>
      </c>
      <c r="BL9" s="170"/>
    </row>
    <row r="10" spans="1:64" x14ac:dyDescent="0.2">
      <c r="A10" s="91">
        <v>6</v>
      </c>
      <c r="B10" s="132" t="s">
        <v>21</v>
      </c>
      <c r="C10" s="155">
        <v>0</v>
      </c>
      <c r="D10" s="155">
        <v>0</v>
      </c>
      <c r="E10" s="155">
        <v>0</v>
      </c>
      <c r="F10" s="155">
        <v>0</v>
      </c>
      <c r="G10" s="97"/>
      <c r="H10" s="97"/>
      <c r="I10" s="164">
        <v>0</v>
      </c>
      <c r="J10" s="164"/>
      <c r="K10" s="165">
        <v>0</v>
      </c>
      <c r="L10" s="166">
        <v>1.1399999999999999</v>
      </c>
      <c r="M10" s="118">
        <v>1.1100000000000001</v>
      </c>
      <c r="N10" s="133">
        <v>9210</v>
      </c>
      <c r="O10" s="133">
        <v>9110</v>
      </c>
      <c r="P10" s="167">
        <v>1213.3259999999998</v>
      </c>
      <c r="Q10" s="133">
        <v>0</v>
      </c>
      <c r="R10" s="168">
        <v>0</v>
      </c>
      <c r="S10" s="169">
        <v>493.55439000000001</v>
      </c>
      <c r="T10" s="135">
        <v>951</v>
      </c>
      <c r="U10" s="97">
        <v>30</v>
      </c>
      <c r="V10" s="139">
        <v>1</v>
      </c>
      <c r="W10" s="136">
        <v>226008.55000000002</v>
      </c>
      <c r="X10" s="123">
        <v>1036155.46</v>
      </c>
      <c r="Y10" s="137">
        <v>1133963.1499999997</v>
      </c>
      <c r="Z10" s="123">
        <v>2632.074661992981</v>
      </c>
      <c r="AA10" s="123">
        <v>89.393463626492931</v>
      </c>
      <c r="AB10" s="123">
        <v>280.1957111834962</v>
      </c>
      <c r="AC10" s="123">
        <v>142.62872905180777</v>
      </c>
      <c r="AD10" s="123">
        <v>74.844842562432135</v>
      </c>
      <c r="AE10" s="123">
        <v>91.381427795874046</v>
      </c>
      <c r="AF10" s="122">
        <v>3310.5188362130839</v>
      </c>
      <c r="AG10" s="123">
        <v>2703.9896702310361</v>
      </c>
      <c r="AH10" s="123">
        <v>89.883796926454465</v>
      </c>
      <c r="AI10" s="123">
        <v>307.22036223929746</v>
      </c>
      <c r="AJ10" s="123">
        <v>150.35027297411355</v>
      </c>
      <c r="AK10" s="123">
        <v>87.931097694840844</v>
      </c>
      <c r="AL10" s="123">
        <v>130.87963776070254</v>
      </c>
      <c r="AM10" s="122">
        <v>3470.2548378264455</v>
      </c>
      <c r="AN10" s="138">
        <v>2668.0321661120088</v>
      </c>
      <c r="AO10" s="139">
        <v>89.638630276473691</v>
      </c>
      <c r="AP10" s="140">
        <v>293.70803671139686</v>
      </c>
      <c r="AQ10" s="140">
        <v>146.48950101296066</v>
      </c>
      <c r="AR10" s="139">
        <v>81.387970128636482</v>
      </c>
      <c r="AS10" s="141">
        <v>111.13053277828828</v>
      </c>
      <c r="AT10" s="122">
        <v>3390.3868370197647</v>
      </c>
      <c r="AU10" s="136">
        <v>3299.6631030996</v>
      </c>
      <c r="AV10" s="142">
        <v>0.96</v>
      </c>
      <c r="AW10" s="143">
        <v>-0.13747423765011257</v>
      </c>
      <c r="AX10" s="213">
        <v>-0.69023297250997273</v>
      </c>
      <c r="AY10" s="214">
        <v>-2.9223629168351237E-2</v>
      </c>
      <c r="AZ10" s="214">
        <v>-7.3256926185722937E-2</v>
      </c>
      <c r="BA10" s="214">
        <v>-5.089201651181896E-2</v>
      </c>
      <c r="BB10" s="203">
        <v>1.1521236844298488</v>
      </c>
      <c r="BC10" s="139">
        <v>249</v>
      </c>
      <c r="BD10" s="204">
        <v>0.9</v>
      </c>
      <c r="BE10" s="139">
        <v>18854.510251737367</v>
      </c>
      <c r="BF10" s="139">
        <v>11000</v>
      </c>
      <c r="BG10" s="205">
        <v>0.65</v>
      </c>
      <c r="BH10" s="205">
        <v>0.65</v>
      </c>
      <c r="BI10" s="204">
        <v>0.2</v>
      </c>
      <c r="BJ10" s="142">
        <v>0.6</v>
      </c>
      <c r="BK10" s="205">
        <v>0.2</v>
      </c>
      <c r="BL10" s="170"/>
    </row>
    <row r="11" spans="1:64" x14ac:dyDescent="0.2">
      <c r="A11" s="91">
        <v>7</v>
      </c>
      <c r="B11" s="132" t="s">
        <v>22</v>
      </c>
      <c r="C11" s="155">
        <v>0</v>
      </c>
      <c r="D11" s="155">
        <v>0</v>
      </c>
      <c r="E11" s="155">
        <v>0</v>
      </c>
      <c r="F11" s="155">
        <v>24000</v>
      </c>
      <c r="G11" s="97"/>
      <c r="H11" s="97"/>
      <c r="I11" s="164">
        <v>0</v>
      </c>
      <c r="J11" s="164"/>
      <c r="K11" s="165">
        <v>0</v>
      </c>
      <c r="L11" s="166">
        <v>1.24</v>
      </c>
      <c r="M11" s="118">
        <v>1.24</v>
      </c>
      <c r="N11" s="133">
        <v>3471</v>
      </c>
      <c r="O11" s="133">
        <v>3519</v>
      </c>
      <c r="P11" s="167">
        <v>577.21100000000001</v>
      </c>
      <c r="Q11" s="133">
        <v>0</v>
      </c>
      <c r="R11" s="168">
        <v>0</v>
      </c>
      <c r="S11" s="169">
        <v>475.98480000000001</v>
      </c>
      <c r="T11" s="135">
        <v>359</v>
      </c>
      <c r="U11" s="97">
        <v>5</v>
      </c>
      <c r="V11" s="139">
        <v>0.92</v>
      </c>
      <c r="W11" s="136">
        <v>61731.75</v>
      </c>
      <c r="X11" s="123">
        <v>580977.80000000005</v>
      </c>
      <c r="Y11" s="137">
        <v>500149.55000000016</v>
      </c>
      <c r="Z11" s="123">
        <v>2375.2633944903237</v>
      </c>
      <c r="AA11" s="123">
        <v>213.42915586286375</v>
      </c>
      <c r="AB11" s="123">
        <v>355.33052434456931</v>
      </c>
      <c r="AC11" s="123">
        <v>167.26532542533729</v>
      </c>
      <c r="AD11" s="123">
        <v>171.87554019014692</v>
      </c>
      <c r="AE11" s="123">
        <v>145.16685393258427</v>
      </c>
      <c r="AF11" s="122">
        <v>3428.3307942458255</v>
      </c>
      <c r="AG11" s="123">
        <v>2553.8562885625488</v>
      </c>
      <c r="AH11" s="123">
        <v>216.70897982381356</v>
      </c>
      <c r="AI11" s="123">
        <v>340.81668087524861</v>
      </c>
      <c r="AJ11" s="123">
        <v>170.94907500497061</v>
      </c>
      <c r="AK11" s="123">
        <v>60.009860755896568</v>
      </c>
      <c r="AL11" s="123">
        <v>81.453964194373398</v>
      </c>
      <c r="AM11" s="122">
        <v>3423.7948492168512</v>
      </c>
      <c r="AN11" s="138">
        <v>2464.5598415264362</v>
      </c>
      <c r="AO11" s="139">
        <v>215.06906784333864</v>
      </c>
      <c r="AP11" s="140">
        <v>348.07360260990896</v>
      </c>
      <c r="AQ11" s="140">
        <v>169.10720021515397</v>
      </c>
      <c r="AR11" s="139">
        <v>115.94270047302174</v>
      </c>
      <c r="AS11" s="141">
        <v>113.31040906347883</v>
      </c>
      <c r="AT11" s="122">
        <v>3426.0628217313388</v>
      </c>
      <c r="AU11" s="136">
        <v>3299.6631030996</v>
      </c>
      <c r="AV11" s="142">
        <v>0.96</v>
      </c>
      <c r="AW11" s="143">
        <v>-0.19153427892835917</v>
      </c>
      <c r="AX11" s="213">
        <v>-0.50562263561109044</v>
      </c>
      <c r="AY11" s="214">
        <v>-2.9223629168351237E-2</v>
      </c>
      <c r="AZ11" s="214">
        <v>-7.3256926185722937E-2</v>
      </c>
      <c r="BA11" s="214">
        <v>-3.8872685611843275E-2</v>
      </c>
      <c r="BB11" s="203">
        <v>1.1521236844298488</v>
      </c>
      <c r="BC11" s="139">
        <v>249</v>
      </c>
      <c r="BD11" s="204">
        <v>0.9</v>
      </c>
      <c r="BE11" s="139">
        <v>18854.510251737367</v>
      </c>
      <c r="BF11" s="139">
        <v>11000</v>
      </c>
      <c r="BG11" s="205">
        <v>0.65</v>
      </c>
      <c r="BH11" s="205">
        <v>0.65</v>
      </c>
      <c r="BI11" s="204">
        <v>0.2</v>
      </c>
      <c r="BJ11" s="142">
        <v>0.6</v>
      </c>
      <c r="BK11" s="205">
        <v>0.2</v>
      </c>
      <c r="BL11" s="170"/>
    </row>
    <row r="12" spans="1:64" x14ac:dyDescent="0.2">
      <c r="A12" s="91">
        <v>8</v>
      </c>
      <c r="B12" s="132" t="s">
        <v>23</v>
      </c>
      <c r="C12" s="155">
        <v>0</v>
      </c>
      <c r="D12" s="155">
        <v>60800</v>
      </c>
      <c r="E12" s="155">
        <v>61800</v>
      </c>
      <c r="F12" s="155">
        <v>0</v>
      </c>
      <c r="G12" s="97"/>
      <c r="H12" s="97"/>
      <c r="I12" s="164">
        <v>0</v>
      </c>
      <c r="J12" s="164"/>
      <c r="K12" s="165">
        <v>0</v>
      </c>
      <c r="L12" s="166">
        <v>1.28</v>
      </c>
      <c r="M12" s="118">
        <v>1.28</v>
      </c>
      <c r="N12" s="133">
        <v>832</v>
      </c>
      <c r="O12" s="133">
        <v>840</v>
      </c>
      <c r="P12" s="167">
        <v>274.279</v>
      </c>
      <c r="Q12" s="133">
        <v>0</v>
      </c>
      <c r="R12" s="168">
        <v>0</v>
      </c>
      <c r="S12" s="169">
        <v>375.54809</v>
      </c>
      <c r="T12" s="135">
        <v>100</v>
      </c>
      <c r="U12" s="97">
        <v>0</v>
      </c>
      <c r="V12" s="139">
        <v>0.87</v>
      </c>
      <c r="W12" s="136">
        <v>0</v>
      </c>
      <c r="X12" s="123">
        <v>49177.2</v>
      </c>
      <c r="Y12" s="137">
        <v>14688.599999999999</v>
      </c>
      <c r="Z12" s="123">
        <v>2775.9082984924853</v>
      </c>
      <c r="AA12" s="123">
        <v>43.781069711538471</v>
      </c>
      <c r="AB12" s="123">
        <v>74.375240384615395</v>
      </c>
      <c r="AC12" s="123">
        <v>153.16209877379654</v>
      </c>
      <c r="AD12" s="123">
        <v>101.01298076923078</v>
      </c>
      <c r="AE12" s="123">
        <v>121.31911057692308</v>
      </c>
      <c r="AF12" s="122">
        <v>3269.5587987085892</v>
      </c>
      <c r="AG12" s="123">
        <v>2792.2685856538483</v>
      </c>
      <c r="AH12" s="123">
        <v>27.400261904761905</v>
      </c>
      <c r="AI12" s="123">
        <v>36.105238095238093</v>
      </c>
      <c r="AJ12" s="123">
        <v>155.66442976668336</v>
      </c>
      <c r="AK12" s="123">
        <v>67.617440476190481</v>
      </c>
      <c r="AL12" s="123">
        <v>238.88238095238097</v>
      </c>
      <c r="AM12" s="122">
        <v>3317.9383368491035</v>
      </c>
      <c r="AN12" s="138">
        <v>2784.0884420731668</v>
      </c>
      <c r="AO12" s="139">
        <v>35.590665808150192</v>
      </c>
      <c r="AP12" s="140">
        <v>55.240239239926744</v>
      </c>
      <c r="AQ12" s="140">
        <v>154.41326427023995</v>
      </c>
      <c r="AR12" s="139">
        <v>84.315210622710623</v>
      </c>
      <c r="AS12" s="141">
        <v>180.10074576465203</v>
      </c>
      <c r="AT12" s="122">
        <v>3293.7485677788463</v>
      </c>
      <c r="AU12" s="136">
        <v>3299.6631030996</v>
      </c>
      <c r="AV12" s="142">
        <v>0.96</v>
      </c>
      <c r="AW12" s="143">
        <v>0</v>
      </c>
      <c r="AX12" s="213">
        <v>0.46706111911852499</v>
      </c>
      <c r="AY12" s="214">
        <v>-2.9223629168351237E-2</v>
      </c>
      <c r="AZ12" s="214">
        <v>-7.3256926185722937E-2</v>
      </c>
      <c r="BA12" s="214">
        <v>7.349208029900048E-3</v>
      </c>
      <c r="BB12" s="203">
        <v>1.1521236844298488</v>
      </c>
      <c r="BC12" s="139">
        <v>249</v>
      </c>
      <c r="BD12" s="204">
        <v>0.9</v>
      </c>
      <c r="BE12" s="139">
        <v>18854.510251737367</v>
      </c>
      <c r="BF12" s="139">
        <v>11000</v>
      </c>
      <c r="BG12" s="205">
        <v>0.65</v>
      </c>
      <c r="BH12" s="205">
        <v>0.65</v>
      </c>
      <c r="BI12" s="204">
        <v>0.2</v>
      </c>
      <c r="BJ12" s="142">
        <v>0.6</v>
      </c>
      <c r="BK12" s="205">
        <v>0.2</v>
      </c>
      <c r="BL12" s="170"/>
    </row>
    <row r="13" spans="1:64" x14ac:dyDescent="0.2">
      <c r="A13" s="91">
        <v>9</v>
      </c>
      <c r="B13" s="132" t="s">
        <v>24</v>
      </c>
      <c r="C13" s="155">
        <v>0</v>
      </c>
      <c r="D13" s="155">
        <v>0</v>
      </c>
      <c r="E13" s="155">
        <v>0</v>
      </c>
      <c r="F13" s="155">
        <v>0</v>
      </c>
      <c r="G13" s="97"/>
      <c r="H13" s="97"/>
      <c r="I13" s="164">
        <v>0</v>
      </c>
      <c r="J13" s="164"/>
      <c r="K13" s="165">
        <v>0</v>
      </c>
      <c r="L13" s="166">
        <v>0.9</v>
      </c>
      <c r="M13" s="118">
        <v>0.9</v>
      </c>
      <c r="N13" s="133">
        <v>1338</v>
      </c>
      <c r="O13" s="133">
        <v>1337</v>
      </c>
      <c r="P13" s="167">
        <v>210.18600000000001</v>
      </c>
      <c r="Q13" s="133">
        <v>0</v>
      </c>
      <c r="R13" s="168">
        <v>0</v>
      </c>
      <c r="S13" s="169">
        <v>198.92534000000001</v>
      </c>
      <c r="T13" s="135">
        <v>188</v>
      </c>
      <c r="U13" s="97">
        <v>3</v>
      </c>
      <c r="V13" s="139">
        <v>0.85</v>
      </c>
      <c r="W13" s="136">
        <v>0</v>
      </c>
      <c r="X13" s="123">
        <v>39962.949999999997</v>
      </c>
      <c r="Y13" s="137">
        <v>113185.64999999998</v>
      </c>
      <c r="Z13" s="123">
        <v>3314.4964974513764</v>
      </c>
      <c r="AA13" s="123">
        <v>66.472571001494771</v>
      </c>
      <c r="AB13" s="123">
        <v>420.70085949177877</v>
      </c>
      <c r="AC13" s="123">
        <v>188.59850176536762</v>
      </c>
      <c r="AD13" s="123">
        <v>105.38490284005979</v>
      </c>
      <c r="AE13" s="123">
        <v>114.64772047832585</v>
      </c>
      <c r="AF13" s="122">
        <v>4210.3010530284037</v>
      </c>
      <c r="AG13" s="123">
        <v>3844.6281767016849</v>
      </c>
      <c r="AH13" s="123">
        <v>101.1771129394166</v>
      </c>
      <c r="AI13" s="123">
        <v>431.61537023186236</v>
      </c>
      <c r="AJ13" s="123">
        <v>203.63064657001522</v>
      </c>
      <c r="AK13" s="123">
        <v>112.24457741211668</v>
      </c>
      <c r="AL13" s="123">
        <v>347.22905759162302</v>
      </c>
      <c r="AM13" s="122">
        <v>5040.5249414467189</v>
      </c>
      <c r="AN13" s="138">
        <v>3579.5623370765306</v>
      </c>
      <c r="AO13" s="139">
        <v>83.82484197045568</v>
      </c>
      <c r="AP13" s="140">
        <v>426.15811486182054</v>
      </c>
      <c r="AQ13" s="140">
        <v>196.11457416769142</v>
      </c>
      <c r="AR13" s="139">
        <v>108.81474012608824</v>
      </c>
      <c r="AS13" s="141">
        <v>230.93838903497442</v>
      </c>
      <c r="AT13" s="122">
        <v>4625.4129972375613</v>
      </c>
      <c r="AU13" s="136">
        <v>3299.6631030996</v>
      </c>
      <c r="AV13" s="142">
        <v>0.96</v>
      </c>
      <c r="AW13" s="143">
        <v>-1</v>
      </c>
      <c r="AX13" s="213">
        <v>-0.54644542315193156</v>
      </c>
      <c r="AY13" s="214">
        <v>-2.9223629168351237E-2</v>
      </c>
      <c r="AZ13" s="214">
        <v>-7.3256926185722937E-2</v>
      </c>
      <c r="BA13" s="214">
        <v>-3.6868064891231379E-2</v>
      </c>
      <c r="BB13" s="203">
        <v>1.1521236844298488</v>
      </c>
      <c r="BC13" s="139">
        <v>249</v>
      </c>
      <c r="BD13" s="204">
        <v>0.9</v>
      </c>
      <c r="BE13" s="139">
        <v>18854.510251737367</v>
      </c>
      <c r="BF13" s="139">
        <v>11000</v>
      </c>
      <c r="BG13" s="205">
        <v>0.65</v>
      </c>
      <c r="BH13" s="205">
        <v>0.65</v>
      </c>
      <c r="BI13" s="204">
        <v>0.2</v>
      </c>
      <c r="BJ13" s="142">
        <v>0.6</v>
      </c>
      <c r="BK13" s="205">
        <v>0.2</v>
      </c>
      <c r="BL13" s="170"/>
    </row>
    <row r="14" spans="1:64" x14ac:dyDescent="0.2">
      <c r="A14" s="91">
        <v>10</v>
      </c>
      <c r="B14" s="132" t="s">
        <v>25</v>
      </c>
      <c r="C14" s="155">
        <v>188300</v>
      </c>
      <c r="D14" s="155">
        <v>289000</v>
      </c>
      <c r="E14" s="155">
        <v>341400</v>
      </c>
      <c r="F14" s="155">
        <v>0</v>
      </c>
      <c r="G14" s="97"/>
      <c r="H14" s="97"/>
      <c r="I14" s="164">
        <v>0</v>
      </c>
      <c r="J14" s="164"/>
      <c r="K14" s="165">
        <v>0</v>
      </c>
      <c r="L14" s="166">
        <v>1.45</v>
      </c>
      <c r="M14" s="118">
        <v>1.4</v>
      </c>
      <c r="N14" s="133">
        <v>1033</v>
      </c>
      <c r="O14" s="133">
        <v>1045</v>
      </c>
      <c r="P14" s="167">
        <v>518.39760000000001</v>
      </c>
      <c r="Q14" s="133">
        <v>0</v>
      </c>
      <c r="R14" s="168">
        <v>0</v>
      </c>
      <c r="S14" s="169">
        <v>713.53098999999997</v>
      </c>
      <c r="T14" s="135">
        <v>148</v>
      </c>
      <c r="U14" s="97">
        <v>2</v>
      </c>
      <c r="V14" s="139">
        <v>0.8</v>
      </c>
      <c r="W14" s="136">
        <v>0</v>
      </c>
      <c r="X14" s="123">
        <v>63577.55</v>
      </c>
      <c r="Y14" s="137">
        <v>84964.6</v>
      </c>
      <c r="Z14" s="123">
        <v>2599.6869281394838</v>
      </c>
      <c r="AA14" s="123">
        <v>40.266069699903198</v>
      </c>
      <c r="AB14" s="123">
        <v>37.660309777347528</v>
      </c>
      <c r="AC14" s="123">
        <v>147.18067584722931</v>
      </c>
      <c r="AD14" s="123">
        <v>63.993562439496614</v>
      </c>
      <c r="AE14" s="123">
        <v>-20.765585672797677</v>
      </c>
      <c r="AF14" s="122">
        <v>2868.0219602306629</v>
      </c>
      <c r="AG14" s="123">
        <v>2729.4906042109569</v>
      </c>
      <c r="AH14" s="123">
        <v>62.492009569377998</v>
      </c>
      <c r="AI14" s="123">
        <v>25.561722488038278</v>
      </c>
      <c r="AJ14" s="123">
        <v>153.81632491575866</v>
      </c>
      <c r="AK14" s="123">
        <v>68.296746411483255</v>
      </c>
      <c r="AL14" s="123">
        <v>63.098133971291865</v>
      </c>
      <c r="AM14" s="122">
        <v>3102.7555415669067</v>
      </c>
      <c r="AN14" s="138">
        <v>2664.5887661752204</v>
      </c>
      <c r="AO14" s="139">
        <v>51.379039634640598</v>
      </c>
      <c r="AP14" s="140">
        <v>31.611016132692903</v>
      </c>
      <c r="AQ14" s="140">
        <v>150.49850038149398</v>
      </c>
      <c r="AR14" s="139">
        <v>66.145154425489935</v>
      </c>
      <c r="AS14" s="141">
        <v>21.166274149247094</v>
      </c>
      <c r="AT14" s="122">
        <v>2985.388750898785</v>
      </c>
      <c r="AU14" s="136">
        <v>3299.6631030996</v>
      </c>
      <c r="AV14" s="142">
        <v>0.96</v>
      </c>
      <c r="AW14" s="143">
        <v>0</v>
      </c>
      <c r="AX14" s="213">
        <v>1.4819815359089179</v>
      </c>
      <c r="AY14" s="214">
        <v>-2.9223629168351237E-2</v>
      </c>
      <c r="AZ14" s="214">
        <v>-7.3256926185722937E-2</v>
      </c>
      <c r="BA14" s="214">
        <v>4.2291186564669236E-2</v>
      </c>
      <c r="BB14" s="203">
        <v>1.1521236844298488</v>
      </c>
      <c r="BC14" s="139">
        <v>249</v>
      </c>
      <c r="BD14" s="204">
        <v>0.9</v>
      </c>
      <c r="BE14" s="139">
        <v>18854.510251737367</v>
      </c>
      <c r="BF14" s="139">
        <v>11000</v>
      </c>
      <c r="BG14" s="205">
        <v>0.65</v>
      </c>
      <c r="BH14" s="205">
        <v>0.65</v>
      </c>
      <c r="BI14" s="204">
        <v>0.2</v>
      </c>
      <c r="BJ14" s="142">
        <v>0.6</v>
      </c>
      <c r="BK14" s="205">
        <v>0.2</v>
      </c>
      <c r="BL14" s="170"/>
    </row>
    <row r="15" spans="1:64" x14ac:dyDescent="0.2">
      <c r="A15" s="91">
        <v>11</v>
      </c>
      <c r="B15" s="132" t="s">
        <v>26</v>
      </c>
      <c r="C15" s="155">
        <v>381100</v>
      </c>
      <c r="D15" s="155">
        <v>653300</v>
      </c>
      <c r="E15" s="155">
        <v>389800</v>
      </c>
      <c r="F15" s="155">
        <v>0</v>
      </c>
      <c r="G15" s="97"/>
      <c r="H15" s="97"/>
      <c r="I15" s="164">
        <v>0</v>
      </c>
      <c r="J15" s="164"/>
      <c r="K15" s="165">
        <v>0</v>
      </c>
      <c r="L15" s="166">
        <v>1.5</v>
      </c>
      <c r="M15" s="118">
        <v>1.46</v>
      </c>
      <c r="N15" s="133">
        <v>2246</v>
      </c>
      <c r="O15" s="133">
        <v>2262</v>
      </c>
      <c r="P15" s="167">
        <v>873.2650000000001</v>
      </c>
      <c r="Q15" s="133">
        <v>2041</v>
      </c>
      <c r="R15" s="168">
        <v>3386.5468257995199</v>
      </c>
      <c r="S15" s="169">
        <v>890.26861000000008</v>
      </c>
      <c r="T15" s="135">
        <v>286</v>
      </c>
      <c r="U15" s="97">
        <v>9</v>
      </c>
      <c r="V15" s="139">
        <v>0.87</v>
      </c>
      <c r="W15" s="136">
        <v>9079.2999999999993</v>
      </c>
      <c r="X15" s="123">
        <v>82692.750000000015</v>
      </c>
      <c r="Y15" s="137">
        <v>134775.55000000002</v>
      </c>
      <c r="Z15" s="123">
        <v>2601.6538089749374</v>
      </c>
      <c r="AA15" s="123">
        <v>39.567074799643805</v>
      </c>
      <c r="AB15" s="123">
        <v>55.068521816562779</v>
      </c>
      <c r="AC15" s="123">
        <v>137.08669452388841</v>
      </c>
      <c r="AD15" s="123">
        <v>91.349065004452356</v>
      </c>
      <c r="AE15" s="123">
        <v>118.37604630454139</v>
      </c>
      <c r="AF15" s="122">
        <v>3043.1012114240261</v>
      </c>
      <c r="AG15" s="123">
        <v>2615.9393964815354</v>
      </c>
      <c r="AH15" s="123">
        <v>34.547679045092835</v>
      </c>
      <c r="AI15" s="123">
        <v>49.399580017683462</v>
      </c>
      <c r="AJ15" s="123">
        <v>138.83411277352729</v>
      </c>
      <c r="AK15" s="123">
        <v>88.53017241379311</v>
      </c>
      <c r="AL15" s="123">
        <v>25.638859416445623</v>
      </c>
      <c r="AM15" s="122">
        <v>2952.8898001480779</v>
      </c>
      <c r="AN15" s="138">
        <v>2608.7966027282364</v>
      </c>
      <c r="AO15" s="139">
        <v>37.05737692236832</v>
      </c>
      <c r="AP15" s="140">
        <v>52.23405091712312</v>
      </c>
      <c r="AQ15" s="140">
        <v>137.96040364870785</v>
      </c>
      <c r="AR15" s="139">
        <v>89.939618709122726</v>
      </c>
      <c r="AS15" s="141">
        <v>72.007452860493501</v>
      </c>
      <c r="AT15" s="122">
        <v>2997.9955057860525</v>
      </c>
      <c r="AU15" s="136">
        <v>3299.6631030996</v>
      </c>
      <c r="AV15" s="142">
        <v>0.96</v>
      </c>
      <c r="AW15" s="143">
        <v>0</v>
      </c>
      <c r="AX15" s="213">
        <v>0.82343917192899274</v>
      </c>
      <c r="AY15" s="214">
        <v>0.59330198728274819</v>
      </c>
      <c r="AZ15" s="214">
        <v>6.8667112709161815E-2</v>
      </c>
      <c r="BA15" s="214">
        <v>-5.8201476525417638E-4</v>
      </c>
      <c r="BB15" s="203">
        <v>1.1521236844298488</v>
      </c>
      <c r="BC15" s="139">
        <v>249</v>
      </c>
      <c r="BD15" s="204">
        <v>0.9</v>
      </c>
      <c r="BE15" s="139">
        <v>18854.510251737367</v>
      </c>
      <c r="BF15" s="139">
        <v>11000</v>
      </c>
      <c r="BG15" s="205">
        <v>0.65</v>
      </c>
      <c r="BH15" s="205">
        <v>0.65</v>
      </c>
      <c r="BI15" s="204">
        <v>0.2</v>
      </c>
      <c r="BJ15" s="142">
        <v>0.6</v>
      </c>
      <c r="BK15" s="205">
        <v>0.2</v>
      </c>
      <c r="BL15" s="170"/>
    </row>
    <row r="16" spans="1:64" x14ac:dyDescent="0.2">
      <c r="A16" s="91">
        <v>12</v>
      </c>
      <c r="B16" s="132" t="s">
        <v>27</v>
      </c>
      <c r="C16" s="155">
        <v>0</v>
      </c>
      <c r="D16" s="155">
        <v>0</v>
      </c>
      <c r="E16" s="155">
        <v>0</v>
      </c>
      <c r="F16" s="155">
        <v>0</v>
      </c>
      <c r="G16" s="97"/>
      <c r="H16" s="97"/>
      <c r="I16" s="164">
        <v>0</v>
      </c>
      <c r="J16" s="164"/>
      <c r="K16" s="165">
        <v>0</v>
      </c>
      <c r="L16" s="166">
        <v>1.1599999999999999</v>
      </c>
      <c r="M16" s="118">
        <v>1.1100000000000001</v>
      </c>
      <c r="N16" s="133">
        <v>7117</v>
      </c>
      <c r="O16" s="133">
        <v>7214</v>
      </c>
      <c r="P16" s="167">
        <v>1130.5030000000002</v>
      </c>
      <c r="Q16" s="133">
        <v>0</v>
      </c>
      <c r="R16" s="168">
        <v>0</v>
      </c>
      <c r="S16" s="169">
        <v>739.52706000000001</v>
      </c>
      <c r="T16" s="135">
        <v>639</v>
      </c>
      <c r="U16" s="97">
        <v>10</v>
      </c>
      <c r="V16" s="139">
        <v>1</v>
      </c>
      <c r="W16" s="136">
        <v>113538.3</v>
      </c>
      <c r="X16" s="123">
        <v>904326.36</v>
      </c>
      <c r="Y16" s="137">
        <v>739110.94999999984</v>
      </c>
      <c r="Z16" s="123">
        <v>3160.2871404098491</v>
      </c>
      <c r="AA16" s="123">
        <v>107.45693410144726</v>
      </c>
      <c r="AB16" s="123">
        <v>108.13793030771393</v>
      </c>
      <c r="AC16" s="123">
        <v>142.35156349816032</v>
      </c>
      <c r="AD16" s="123">
        <v>119.15629478712941</v>
      </c>
      <c r="AE16" s="123">
        <v>118.63762118870312</v>
      </c>
      <c r="AF16" s="122">
        <v>3756.027484293003</v>
      </c>
      <c r="AG16" s="123">
        <v>2713.9991809071748</v>
      </c>
      <c r="AH16" s="123">
        <v>121.57387718325479</v>
      </c>
      <c r="AI16" s="123">
        <v>13.690497643471028</v>
      </c>
      <c r="AJ16" s="123">
        <v>150.11953195260557</v>
      </c>
      <c r="AK16" s="123">
        <v>114.92700998059328</v>
      </c>
      <c r="AL16" s="123">
        <v>123.49106598281119</v>
      </c>
      <c r="AM16" s="122">
        <v>3237.8011636499104</v>
      </c>
      <c r="AN16" s="138">
        <v>2937.143160658512</v>
      </c>
      <c r="AO16" s="139">
        <v>114.51540564235103</v>
      </c>
      <c r="AP16" s="140">
        <v>60.914213975592482</v>
      </c>
      <c r="AQ16" s="140">
        <v>146.23554772538296</v>
      </c>
      <c r="AR16" s="139">
        <v>117.04165238386135</v>
      </c>
      <c r="AS16" s="141">
        <v>121.06434358575716</v>
      </c>
      <c r="AT16" s="122">
        <v>3496.9143239714576</v>
      </c>
      <c r="AU16" s="136">
        <v>3299.6631030996</v>
      </c>
      <c r="AV16" s="142">
        <v>0.96</v>
      </c>
      <c r="AW16" s="143">
        <v>-0.29889600045314602</v>
      </c>
      <c r="AX16" s="213">
        <v>-0.54942393762985819</v>
      </c>
      <c r="AY16" s="214">
        <v>-2.9223629168351237E-2</v>
      </c>
      <c r="AZ16" s="214">
        <v>-7.3256926185722937E-2</v>
      </c>
      <c r="BA16" s="214">
        <v>-4.3727104126281578E-2</v>
      </c>
      <c r="BB16" s="203">
        <v>1.1521236844298488</v>
      </c>
      <c r="BC16" s="139">
        <v>249</v>
      </c>
      <c r="BD16" s="204">
        <v>0.9</v>
      </c>
      <c r="BE16" s="139">
        <v>18854.510251737367</v>
      </c>
      <c r="BF16" s="139">
        <v>11000</v>
      </c>
      <c r="BG16" s="205">
        <v>0.65</v>
      </c>
      <c r="BH16" s="205">
        <v>0.65</v>
      </c>
      <c r="BI16" s="204">
        <v>0.2</v>
      </c>
      <c r="BJ16" s="142">
        <v>0.6</v>
      </c>
      <c r="BK16" s="205">
        <v>0.2</v>
      </c>
      <c r="BL16" s="170"/>
    </row>
    <row r="17" spans="1:64" x14ac:dyDescent="0.2">
      <c r="A17" s="91">
        <v>13</v>
      </c>
      <c r="B17" s="132" t="s">
        <v>28</v>
      </c>
      <c r="C17" s="155">
        <v>4352800</v>
      </c>
      <c r="D17" s="155">
        <v>0</v>
      </c>
      <c r="E17" s="155">
        <v>0</v>
      </c>
      <c r="F17" s="155">
        <v>1325600</v>
      </c>
      <c r="G17" s="97"/>
      <c r="H17" s="97"/>
      <c r="I17" s="164">
        <v>0</v>
      </c>
      <c r="J17" s="164"/>
      <c r="K17" s="165">
        <v>0</v>
      </c>
      <c r="L17" s="166">
        <v>1.49</v>
      </c>
      <c r="M17" s="118">
        <v>1.49</v>
      </c>
      <c r="N17" s="133">
        <v>9100</v>
      </c>
      <c r="O17" s="133">
        <v>9214</v>
      </c>
      <c r="P17" s="167">
        <v>1127.925</v>
      </c>
      <c r="Q17" s="133">
        <v>0</v>
      </c>
      <c r="R17" s="168">
        <v>0</v>
      </c>
      <c r="S17" s="169">
        <v>230.66873999999999</v>
      </c>
      <c r="T17" s="135">
        <v>951</v>
      </c>
      <c r="U17" s="97">
        <v>36</v>
      </c>
      <c r="V17" s="139">
        <v>1.2</v>
      </c>
      <c r="W17" s="136">
        <v>272918.84999999998</v>
      </c>
      <c r="X17" s="123">
        <v>3754727.7500000005</v>
      </c>
      <c r="Y17" s="137">
        <v>1298398.6499999999</v>
      </c>
      <c r="Z17" s="123">
        <v>1845.9201587268756</v>
      </c>
      <c r="AA17" s="123">
        <v>254.98202747252751</v>
      </c>
      <c r="AB17" s="123">
        <v>203.06451098901098</v>
      </c>
      <c r="AC17" s="123">
        <v>134.26263925273935</v>
      </c>
      <c r="AD17" s="123">
        <v>84.516489010989019</v>
      </c>
      <c r="AE17" s="123">
        <v>58.621153846153845</v>
      </c>
      <c r="AF17" s="122">
        <v>2581.3669792982964</v>
      </c>
      <c r="AG17" s="123">
        <v>1847.4836531195815</v>
      </c>
      <c r="AH17" s="123">
        <v>226.91122205339704</v>
      </c>
      <c r="AI17" s="123">
        <v>370.4454037334491</v>
      </c>
      <c r="AJ17" s="123">
        <v>139.06394144490241</v>
      </c>
      <c r="AK17" s="123">
        <v>111.96383221185152</v>
      </c>
      <c r="AL17" s="123">
        <v>101.45997937920556</v>
      </c>
      <c r="AM17" s="122">
        <v>2797.328031942387</v>
      </c>
      <c r="AN17" s="138">
        <v>1846.7019059232284</v>
      </c>
      <c r="AO17" s="139">
        <v>240.94662476296227</v>
      </c>
      <c r="AP17" s="140">
        <v>286.75495736123003</v>
      </c>
      <c r="AQ17" s="140">
        <v>136.66329034882088</v>
      </c>
      <c r="AR17" s="139">
        <v>98.240160611420265</v>
      </c>
      <c r="AS17" s="141">
        <v>80.040566612679697</v>
      </c>
      <c r="AT17" s="122">
        <v>2689.3475056203415</v>
      </c>
      <c r="AU17" s="136">
        <v>3299.6631030996</v>
      </c>
      <c r="AV17" s="142">
        <v>0.96</v>
      </c>
      <c r="AW17" s="143">
        <v>0</v>
      </c>
      <c r="AX17" s="213">
        <v>-0.75471261741472639</v>
      </c>
      <c r="AY17" s="214">
        <v>-2.9223629168351237E-2</v>
      </c>
      <c r="AZ17" s="214">
        <v>-7.3256926185722937E-2</v>
      </c>
      <c r="BA17" s="214">
        <v>-5.5211907368710123E-2</v>
      </c>
      <c r="BB17" s="203">
        <v>1.1521236844298488</v>
      </c>
      <c r="BC17" s="139">
        <v>249</v>
      </c>
      <c r="BD17" s="204">
        <v>0.9</v>
      </c>
      <c r="BE17" s="139">
        <v>18854.510251737367</v>
      </c>
      <c r="BF17" s="139">
        <v>11000</v>
      </c>
      <c r="BG17" s="205">
        <v>0.65</v>
      </c>
      <c r="BH17" s="205">
        <v>0.65</v>
      </c>
      <c r="BI17" s="204">
        <v>0.2</v>
      </c>
      <c r="BJ17" s="142">
        <v>0.6</v>
      </c>
      <c r="BK17" s="205">
        <v>0.2</v>
      </c>
      <c r="BL17" s="170"/>
    </row>
    <row r="18" spans="1:64" x14ac:dyDescent="0.2">
      <c r="A18" s="91">
        <v>14</v>
      </c>
      <c r="B18" s="132" t="s">
        <v>29</v>
      </c>
      <c r="C18" s="155">
        <v>0</v>
      </c>
      <c r="D18" s="155">
        <v>0</v>
      </c>
      <c r="E18" s="155">
        <v>1300</v>
      </c>
      <c r="F18" s="155">
        <v>0</v>
      </c>
      <c r="G18" s="97"/>
      <c r="H18" s="97"/>
      <c r="I18" s="164">
        <v>0</v>
      </c>
      <c r="J18" s="164"/>
      <c r="K18" s="165">
        <v>0</v>
      </c>
      <c r="L18" s="166">
        <v>1.22</v>
      </c>
      <c r="M18" s="118">
        <v>1.1399999999999999</v>
      </c>
      <c r="N18" s="133">
        <v>6427</v>
      </c>
      <c r="O18" s="133">
        <v>6426</v>
      </c>
      <c r="P18" s="167">
        <v>1424.5170000000001</v>
      </c>
      <c r="Q18" s="133">
        <v>0</v>
      </c>
      <c r="R18" s="168">
        <v>0</v>
      </c>
      <c r="S18" s="169">
        <v>1061.3524600000001</v>
      </c>
      <c r="T18" s="135">
        <v>704</v>
      </c>
      <c r="U18" s="97">
        <v>23</v>
      </c>
      <c r="V18" s="139">
        <v>0.97</v>
      </c>
      <c r="W18" s="136">
        <v>54820.9</v>
      </c>
      <c r="X18" s="123">
        <v>1019507.61</v>
      </c>
      <c r="Y18" s="137">
        <v>474647.99999999994</v>
      </c>
      <c r="Z18" s="123">
        <v>2583.3840019346881</v>
      </c>
      <c r="AA18" s="123">
        <v>346.48481406566054</v>
      </c>
      <c r="AB18" s="123">
        <v>521.10160261397232</v>
      </c>
      <c r="AC18" s="123">
        <v>179.15637248731579</v>
      </c>
      <c r="AD18" s="123">
        <v>113.68791037809241</v>
      </c>
      <c r="AE18" s="123">
        <v>99.543714018982413</v>
      </c>
      <c r="AF18" s="122">
        <v>3843.3584154987116</v>
      </c>
      <c r="AG18" s="123">
        <v>2710.1810532596205</v>
      </c>
      <c r="AH18" s="123">
        <v>337.82712418300656</v>
      </c>
      <c r="AI18" s="123">
        <v>356.6774665421724</v>
      </c>
      <c r="AJ18" s="123">
        <v>184.69440407855959</v>
      </c>
      <c r="AK18" s="123">
        <v>83.593137254901961</v>
      </c>
      <c r="AL18" s="123">
        <v>75.1239417989418</v>
      </c>
      <c r="AM18" s="122">
        <v>3748.0971271172034</v>
      </c>
      <c r="AN18" s="138">
        <v>2646.7825275971545</v>
      </c>
      <c r="AO18" s="139">
        <v>342.15596912433352</v>
      </c>
      <c r="AP18" s="140">
        <v>438.88953457807236</v>
      </c>
      <c r="AQ18" s="140">
        <v>181.92538828293769</v>
      </c>
      <c r="AR18" s="139">
        <v>98.640523816497193</v>
      </c>
      <c r="AS18" s="141">
        <v>87.333827908962107</v>
      </c>
      <c r="AT18" s="122">
        <v>3795.7277713079575</v>
      </c>
      <c r="AU18" s="136">
        <v>3299.6631030996</v>
      </c>
      <c r="AV18" s="142">
        <v>0.96</v>
      </c>
      <c r="AW18" s="143">
        <v>-0.75168987364553908</v>
      </c>
      <c r="AX18" s="213">
        <v>-0.16051586311572383</v>
      </c>
      <c r="AY18" s="214">
        <v>-2.9223629168351237E-2</v>
      </c>
      <c r="AZ18" s="214">
        <v>-7.3256926185722937E-2</v>
      </c>
      <c r="BA18" s="214">
        <v>-3.4439939387917284E-2</v>
      </c>
      <c r="BB18" s="203">
        <v>1.1521236844298488</v>
      </c>
      <c r="BC18" s="139">
        <v>249</v>
      </c>
      <c r="BD18" s="204">
        <v>0.9</v>
      </c>
      <c r="BE18" s="139">
        <v>18854.510251737367</v>
      </c>
      <c r="BF18" s="139">
        <v>11000</v>
      </c>
      <c r="BG18" s="205">
        <v>0.65</v>
      </c>
      <c r="BH18" s="205">
        <v>0.65</v>
      </c>
      <c r="BI18" s="204">
        <v>0.2</v>
      </c>
      <c r="BJ18" s="142">
        <v>0.6</v>
      </c>
      <c r="BK18" s="205">
        <v>0.2</v>
      </c>
      <c r="BL18" s="170"/>
    </row>
    <row r="19" spans="1:64" x14ac:dyDescent="0.2">
      <c r="A19" s="91">
        <v>15</v>
      </c>
      <c r="B19" s="132" t="s">
        <v>30</v>
      </c>
      <c r="C19" s="155">
        <v>497500</v>
      </c>
      <c r="D19" s="155">
        <v>0</v>
      </c>
      <c r="E19" s="155">
        <v>0</v>
      </c>
      <c r="F19" s="155">
        <v>0</v>
      </c>
      <c r="G19" s="97"/>
      <c r="H19" s="97"/>
      <c r="I19" s="164">
        <v>0</v>
      </c>
      <c r="J19" s="164"/>
      <c r="K19" s="165">
        <v>0</v>
      </c>
      <c r="L19" s="166">
        <v>1.39</v>
      </c>
      <c r="M19" s="118">
        <v>1.39</v>
      </c>
      <c r="N19" s="133">
        <v>3221</v>
      </c>
      <c r="O19" s="133">
        <v>3311</v>
      </c>
      <c r="P19" s="167">
        <v>574.55299999999988</v>
      </c>
      <c r="Q19" s="133">
        <v>0</v>
      </c>
      <c r="R19" s="168">
        <v>0</v>
      </c>
      <c r="S19" s="169">
        <v>220.49409999999997</v>
      </c>
      <c r="T19" s="135">
        <v>312</v>
      </c>
      <c r="U19" s="97">
        <v>8</v>
      </c>
      <c r="V19" s="139">
        <v>1.02</v>
      </c>
      <c r="W19" s="136">
        <v>191842.2</v>
      </c>
      <c r="X19" s="123">
        <v>279838.52000000014</v>
      </c>
      <c r="Y19" s="137">
        <v>389730.44999999995</v>
      </c>
      <c r="Z19" s="123">
        <v>2133.0482411493936</v>
      </c>
      <c r="AA19" s="123">
        <v>162.98593604470659</v>
      </c>
      <c r="AB19" s="123">
        <v>250.3622632722757</v>
      </c>
      <c r="AC19" s="123">
        <v>143.7254738668293</v>
      </c>
      <c r="AD19" s="123">
        <v>82.466625271654763</v>
      </c>
      <c r="AE19" s="123">
        <v>23.910307357963362</v>
      </c>
      <c r="AF19" s="122">
        <v>2796.4988469628238</v>
      </c>
      <c r="AG19" s="123">
        <v>2269.3408325953692</v>
      </c>
      <c r="AH19" s="123">
        <v>170.8753850800363</v>
      </c>
      <c r="AI19" s="123">
        <v>305.42574750830568</v>
      </c>
      <c r="AJ19" s="123">
        <v>145.46855557157511</v>
      </c>
      <c r="AK19" s="123">
        <v>132.54152823920265</v>
      </c>
      <c r="AL19" s="123">
        <v>206.31691331923892</v>
      </c>
      <c r="AM19" s="122">
        <v>3229.9689623137283</v>
      </c>
      <c r="AN19" s="138">
        <v>2201.1945368723814</v>
      </c>
      <c r="AO19" s="139">
        <v>166.93066056237143</v>
      </c>
      <c r="AP19" s="140">
        <v>277.89400539029066</v>
      </c>
      <c r="AQ19" s="140">
        <v>144.59701471920221</v>
      </c>
      <c r="AR19" s="139">
        <v>107.50407675542871</v>
      </c>
      <c r="AS19" s="141">
        <v>115.11361033860115</v>
      </c>
      <c r="AT19" s="122">
        <v>3013.2339046382758</v>
      </c>
      <c r="AU19" s="136">
        <v>3299.6631030996</v>
      </c>
      <c r="AV19" s="142">
        <v>0.96</v>
      </c>
      <c r="AW19" s="143">
        <v>0</v>
      </c>
      <c r="AX19" s="213">
        <v>-0.44874726732111037</v>
      </c>
      <c r="AY19" s="214">
        <v>-2.9223629168351237E-2</v>
      </c>
      <c r="AZ19" s="214">
        <v>-7.3256926185722937E-2</v>
      </c>
      <c r="BA19" s="214">
        <v>-4.9051380333582056E-2</v>
      </c>
      <c r="BB19" s="203">
        <v>1.1521236844298488</v>
      </c>
      <c r="BC19" s="139">
        <v>249</v>
      </c>
      <c r="BD19" s="204">
        <v>0.9</v>
      </c>
      <c r="BE19" s="139">
        <v>18854.510251737367</v>
      </c>
      <c r="BF19" s="139">
        <v>11000</v>
      </c>
      <c r="BG19" s="205">
        <v>0.65</v>
      </c>
      <c r="BH19" s="205">
        <v>0.65</v>
      </c>
      <c r="BI19" s="204">
        <v>0.2</v>
      </c>
      <c r="BJ19" s="142">
        <v>0.6</v>
      </c>
      <c r="BK19" s="205">
        <v>0.2</v>
      </c>
      <c r="BL19" s="170"/>
    </row>
    <row r="20" spans="1:64" x14ac:dyDescent="0.2">
      <c r="A20" s="91">
        <v>16</v>
      </c>
      <c r="B20" s="132" t="s">
        <v>31</v>
      </c>
      <c r="C20" s="155">
        <v>3432800</v>
      </c>
      <c r="D20" s="155">
        <v>0</v>
      </c>
      <c r="E20" s="155">
        <v>150600</v>
      </c>
      <c r="F20" s="155">
        <v>255900</v>
      </c>
      <c r="G20" s="97"/>
      <c r="H20" s="97"/>
      <c r="I20" s="164">
        <v>0</v>
      </c>
      <c r="J20" s="164"/>
      <c r="K20" s="165">
        <v>0</v>
      </c>
      <c r="L20" s="166">
        <v>1.39</v>
      </c>
      <c r="M20" s="118">
        <v>1.35</v>
      </c>
      <c r="N20" s="133">
        <v>5777</v>
      </c>
      <c r="O20" s="133">
        <v>5792</v>
      </c>
      <c r="P20" s="167">
        <v>1022.252</v>
      </c>
      <c r="Q20" s="133">
        <v>0</v>
      </c>
      <c r="R20" s="168">
        <v>0</v>
      </c>
      <c r="S20" s="169">
        <v>686.86052000000007</v>
      </c>
      <c r="T20" s="135">
        <v>642</v>
      </c>
      <c r="U20" s="97">
        <v>20</v>
      </c>
      <c r="V20" s="139">
        <v>1.0900000000000001</v>
      </c>
      <c r="W20" s="136">
        <v>191503.6</v>
      </c>
      <c r="X20" s="123">
        <v>1543769.5499999996</v>
      </c>
      <c r="Y20" s="137">
        <v>519917</v>
      </c>
      <c r="Z20" s="123">
        <v>1729.7459726558252</v>
      </c>
      <c r="AA20" s="123">
        <v>294.41179678033586</v>
      </c>
      <c r="AB20" s="123">
        <v>255.51177947031329</v>
      </c>
      <c r="AC20" s="123">
        <v>155.86129355052094</v>
      </c>
      <c r="AD20" s="123">
        <v>79.266920546996715</v>
      </c>
      <c r="AE20" s="123">
        <v>51.184221914488489</v>
      </c>
      <c r="AF20" s="122">
        <v>2565.9819849184796</v>
      </c>
      <c r="AG20" s="123">
        <v>1739.6812424419306</v>
      </c>
      <c r="AH20" s="123">
        <v>258.61534875690603</v>
      </c>
      <c r="AI20" s="123">
        <v>267.19715987569066</v>
      </c>
      <c r="AJ20" s="123">
        <v>157.11305375057484</v>
      </c>
      <c r="AK20" s="123">
        <v>105.61291436464089</v>
      </c>
      <c r="AL20" s="123">
        <v>52.712879834254146</v>
      </c>
      <c r="AM20" s="122">
        <v>2580.9325990239972</v>
      </c>
      <c r="AN20" s="138">
        <v>1734.7136075488779</v>
      </c>
      <c r="AO20" s="139">
        <v>276.51357276862097</v>
      </c>
      <c r="AP20" s="140">
        <v>261.35446967300197</v>
      </c>
      <c r="AQ20" s="140">
        <v>156.4871736505479</v>
      </c>
      <c r="AR20" s="139">
        <v>92.439917455818801</v>
      </c>
      <c r="AS20" s="141">
        <v>51.948550874371321</v>
      </c>
      <c r="AT20" s="122">
        <v>2573.4572919712391</v>
      </c>
      <c r="AU20" s="136">
        <v>3299.6631030996</v>
      </c>
      <c r="AV20" s="142">
        <v>0.96</v>
      </c>
      <c r="AW20" s="143">
        <v>0</v>
      </c>
      <c r="AX20" s="213">
        <v>-0.43099759540920857</v>
      </c>
      <c r="AY20" s="214">
        <v>-2.9223629168351237E-2</v>
      </c>
      <c r="AZ20" s="214">
        <v>-7.3256926185722937E-2</v>
      </c>
      <c r="BA20" s="214">
        <v>-4.1344257115355512E-2</v>
      </c>
      <c r="BB20" s="203">
        <v>1.1521236844298488</v>
      </c>
      <c r="BC20" s="139">
        <v>249</v>
      </c>
      <c r="BD20" s="204">
        <v>0.9</v>
      </c>
      <c r="BE20" s="139">
        <v>18854.510251737367</v>
      </c>
      <c r="BF20" s="139">
        <v>11000</v>
      </c>
      <c r="BG20" s="205">
        <v>0.65</v>
      </c>
      <c r="BH20" s="205">
        <v>0.65</v>
      </c>
      <c r="BI20" s="204">
        <v>0.2</v>
      </c>
      <c r="BJ20" s="142">
        <v>0.6</v>
      </c>
      <c r="BK20" s="205">
        <v>0.2</v>
      </c>
      <c r="BL20" s="170"/>
    </row>
    <row r="21" spans="1:64" x14ac:dyDescent="0.2">
      <c r="A21" s="91">
        <v>17</v>
      </c>
      <c r="B21" s="132" t="s">
        <v>32</v>
      </c>
      <c r="C21" s="155">
        <v>0</v>
      </c>
      <c r="D21" s="155">
        <v>0</v>
      </c>
      <c r="E21" s="155">
        <v>0</v>
      </c>
      <c r="F21" s="155">
        <v>50000</v>
      </c>
      <c r="G21" s="97"/>
      <c r="H21" s="97"/>
      <c r="I21" s="164">
        <v>0</v>
      </c>
      <c r="J21" s="164"/>
      <c r="K21" s="165">
        <v>0</v>
      </c>
      <c r="L21" s="166">
        <v>0.95</v>
      </c>
      <c r="M21" s="118">
        <v>0.95</v>
      </c>
      <c r="N21" s="133">
        <v>7278</v>
      </c>
      <c r="O21" s="133">
        <v>7378</v>
      </c>
      <c r="P21" s="167">
        <v>1063.1669999999999</v>
      </c>
      <c r="Q21" s="133">
        <v>0</v>
      </c>
      <c r="R21" s="168">
        <v>0</v>
      </c>
      <c r="S21" s="169">
        <v>465.38316000000003</v>
      </c>
      <c r="T21" s="135">
        <v>770</v>
      </c>
      <c r="U21" s="97">
        <v>13</v>
      </c>
      <c r="V21" s="139">
        <v>1.04</v>
      </c>
      <c r="W21" s="136">
        <v>266524.40000000002</v>
      </c>
      <c r="X21" s="123">
        <v>1235102.23</v>
      </c>
      <c r="Y21" s="137">
        <v>982865.35</v>
      </c>
      <c r="Z21" s="123">
        <v>2583.5666388540649</v>
      </c>
      <c r="AA21" s="123">
        <v>426.94690162132451</v>
      </c>
      <c r="AB21" s="123">
        <v>469.1336699642759</v>
      </c>
      <c r="AC21" s="123">
        <v>162.42995072235914</v>
      </c>
      <c r="AD21" s="123">
        <v>89.495081066226973</v>
      </c>
      <c r="AE21" s="123">
        <v>110.69058120362736</v>
      </c>
      <c r="AF21" s="122">
        <v>3842.262823431879</v>
      </c>
      <c r="AG21" s="123">
        <v>2651.6758196850619</v>
      </c>
      <c r="AH21" s="123">
        <v>417.49186093792349</v>
      </c>
      <c r="AI21" s="123">
        <v>518.34054621848748</v>
      </c>
      <c r="AJ21" s="123">
        <v>167.93892597282792</v>
      </c>
      <c r="AK21" s="123">
        <v>99.636100569259966</v>
      </c>
      <c r="AL21" s="123">
        <v>118.18898753049608</v>
      </c>
      <c r="AM21" s="122">
        <v>3973.2722409140565</v>
      </c>
      <c r="AN21" s="138">
        <v>2617.6212292695636</v>
      </c>
      <c r="AO21" s="139">
        <v>422.21938127962403</v>
      </c>
      <c r="AP21" s="140">
        <v>493.73710809138169</v>
      </c>
      <c r="AQ21" s="140">
        <v>165.18443834759353</v>
      </c>
      <c r="AR21" s="139">
        <v>94.56559081774347</v>
      </c>
      <c r="AS21" s="141">
        <v>114.43978436706172</v>
      </c>
      <c r="AT21" s="122">
        <v>3907.7675321729685</v>
      </c>
      <c r="AU21" s="136">
        <v>3299.6631030996</v>
      </c>
      <c r="AV21" s="142">
        <v>0.96</v>
      </c>
      <c r="AW21" s="143">
        <v>-0.92146441935562207</v>
      </c>
      <c r="AX21" s="213">
        <v>-0.62490606245093916</v>
      </c>
      <c r="AY21" s="214">
        <v>-2.9223629168351237E-2</v>
      </c>
      <c r="AZ21" s="214">
        <v>-7.3256926185722937E-2</v>
      </c>
      <c r="BA21" s="214">
        <v>-4.9572754953414622E-2</v>
      </c>
      <c r="BB21" s="203">
        <v>1.1521236844298488</v>
      </c>
      <c r="BC21" s="139">
        <v>249</v>
      </c>
      <c r="BD21" s="204">
        <v>0.9</v>
      </c>
      <c r="BE21" s="139">
        <v>18854.510251737367</v>
      </c>
      <c r="BF21" s="139">
        <v>11000</v>
      </c>
      <c r="BG21" s="205">
        <v>0.65</v>
      </c>
      <c r="BH21" s="205">
        <v>0.65</v>
      </c>
      <c r="BI21" s="204">
        <v>0.2</v>
      </c>
      <c r="BJ21" s="142">
        <v>0.6</v>
      </c>
      <c r="BK21" s="205">
        <v>0.2</v>
      </c>
      <c r="BL21" s="170"/>
    </row>
    <row r="22" spans="1:64" x14ac:dyDescent="0.2">
      <c r="A22" s="91">
        <v>18</v>
      </c>
      <c r="B22" s="132" t="s">
        <v>33</v>
      </c>
      <c r="C22" s="155">
        <v>0</v>
      </c>
      <c r="D22" s="155">
        <v>0</v>
      </c>
      <c r="E22" s="155">
        <v>27700</v>
      </c>
      <c r="F22" s="155">
        <v>0</v>
      </c>
      <c r="G22" s="97"/>
      <c r="H22" s="97"/>
      <c r="I22" s="164">
        <v>0</v>
      </c>
      <c r="J22" s="164"/>
      <c r="K22" s="165">
        <v>0</v>
      </c>
      <c r="L22" s="166">
        <v>0.92</v>
      </c>
      <c r="M22" s="118">
        <v>0.92</v>
      </c>
      <c r="N22" s="133">
        <v>3894</v>
      </c>
      <c r="O22" s="133">
        <v>3937</v>
      </c>
      <c r="P22" s="167">
        <v>834.92039999999997</v>
      </c>
      <c r="Q22" s="133">
        <v>0</v>
      </c>
      <c r="R22" s="168">
        <v>0</v>
      </c>
      <c r="S22" s="169">
        <v>562.10793999999999</v>
      </c>
      <c r="T22" s="135">
        <v>451</v>
      </c>
      <c r="U22" s="97">
        <v>6</v>
      </c>
      <c r="V22" s="139">
        <v>0.88</v>
      </c>
      <c r="W22" s="136">
        <v>1177.5999999999999</v>
      </c>
      <c r="X22" s="123">
        <v>161965.95000000004</v>
      </c>
      <c r="Y22" s="137">
        <v>412722.75000000012</v>
      </c>
      <c r="Z22" s="123">
        <v>2814.2359708050608</v>
      </c>
      <c r="AA22" s="123">
        <v>171.32304827940422</v>
      </c>
      <c r="AB22" s="123">
        <v>301.58604262968669</v>
      </c>
      <c r="AC22" s="123">
        <v>157.63266450540107</v>
      </c>
      <c r="AD22" s="123">
        <v>124.69644324601953</v>
      </c>
      <c r="AE22" s="123">
        <v>85.411633281972271</v>
      </c>
      <c r="AF22" s="122">
        <v>3654.8858027475444</v>
      </c>
      <c r="AG22" s="123">
        <v>2937.7504653375518</v>
      </c>
      <c r="AH22" s="123">
        <v>196.19824739649485</v>
      </c>
      <c r="AI22" s="123">
        <v>307.88813817627636</v>
      </c>
      <c r="AJ22" s="123">
        <v>164.53088577960443</v>
      </c>
      <c r="AK22" s="123">
        <v>94.308966217932436</v>
      </c>
      <c r="AL22" s="123">
        <v>136.48213106426215</v>
      </c>
      <c r="AM22" s="122">
        <v>3837.158833972122</v>
      </c>
      <c r="AN22" s="138">
        <v>2875.9932180713063</v>
      </c>
      <c r="AO22" s="139">
        <v>183.76064783794953</v>
      </c>
      <c r="AP22" s="140">
        <v>304.73709040298149</v>
      </c>
      <c r="AQ22" s="140">
        <v>161.08177514250275</v>
      </c>
      <c r="AR22" s="139">
        <v>109.50270473197598</v>
      </c>
      <c r="AS22" s="141">
        <v>110.94688217311722</v>
      </c>
      <c r="AT22" s="122">
        <v>3746.0223183598332</v>
      </c>
      <c r="AU22" s="136">
        <v>3299.6631030996</v>
      </c>
      <c r="AV22" s="142">
        <v>0.96</v>
      </c>
      <c r="AW22" s="143">
        <v>-0.67637089198733236</v>
      </c>
      <c r="AX22" s="213">
        <v>-0.21804043152680655</v>
      </c>
      <c r="AY22" s="214">
        <v>-2.9223629168351237E-2</v>
      </c>
      <c r="AZ22" s="214">
        <v>-7.3256926185722937E-2</v>
      </c>
      <c r="BA22" s="214">
        <v>-3.7758816985128292E-2</v>
      </c>
      <c r="BB22" s="203">
        <v>1.1521236844298488</v>
      </c>
      <c r="BC22" s="139">
        <v>249</v>
      </c>
      <c r="BD22" s="204">
        <v>0.9</v>
      </c>
      <c r="BE22" s="139">
        <v>18854.510251737367</v>
      </c>
      <c r="BF22" s="139">
        <v>11000</v>
      </c>
      <c r="BG22" s="205">
        <v>0.65</v>
      </c>
      <c r="BH22" s="205">
        <v>0.65</v>
      </c>
      <c r="BI22" s="204">
        <v>0.2</v>
      </c>
      <c r="BJ22" s="142">
        <v>0.6</v>
      </c>
      <c r="BK22" s="205">
        <v>0.2</v>
      </c>
      <c r="BL22" s="170"/>
    </row>
    <row r="23" spans="1:64" x14ac:dyDescent="0.2">
      <c r="A23" s="91">
        <v>19</v>
      </c>
      <c r="B23" s="132" t="s">
        <v>34</v>
      </c>
      <c r="C23" s="155">
        <v>0</v>
      </c>
      <c r="D23" s="155">
        <v>0</v>
      </c>
      <c r="E23" s="155">
        <v>0</v>
      </c>
      <c r="F23" s="155">
        <v>0</v>
      </c>
      <c r="G23" s="97"/>
      <c r="H23" s="97"/>
      <c r="I23" s="164">
        <v>0</v>
      </c>
      <c r="J23" s="164"/>
      <c r="K23" s="165">
        <v>0</v>
      </c>
      <c r="L23" s="166">
        <v>0.85</v>
      </c>
      <c r="M23" s="118">
        <v>0.85</v>
      </c>
      <c r="N23" s="133">
        <v>4532</v>
      </c>
      <c r="O23" s="133">
        <v>4498</v>
      </c>
      <c r="P23" s="167">
        <v>789.48500000000001</v>
      </c>
      <c r="Q23" s="133">
        <v>0</v>
      </c>
      <c r="R23" s="168">
        <v>0</v>
      </c>
      <c r="S23" s="169">
        <v>652.02472999999998</v>
      </c>
      <c r="T23" s="135">
        <v>488</v>
      </c>
      <c r="U23" s="97">
        <v>6</v>
      </c>
      <c r="V23" s="139">
        <v>0.91</v>
      </c>
      <c r="W23" s="136">
        <v>18981.25</v>
      </c>
      <c r="X23" s="123">
        <v>502856.5</v>
      </c>
      <c r="Y23" s="137">
        <v>492511.64999999997</v>
      </c>
      <c r="Z23" s="123">
        <v>3131.389341596388</v>
      </c>
      <c r="AA23" s="123">
        <v>650.3592122683142</v>
      </c>
      <c r="AB23" s="123">
        <v>777.58037290379525</v>
      </c>
      <c r="AC23" s="123">
        <v>177.69968564777088</v>
      </c>
      <c r="AD23" s="123">
        <v>76.840026478375989</v>
      </c>
      <c r="AE23" s="123">
        <v>79.99148278905561</v>
      </c>
      <c r="AF23" s="122">
        <v>4893.8601216836996</v>
      </c>
      <c r="AG23" s="123">
        <v>2805.1190463212847</v>
      </c>
      <c r="AH23" s="123">
        <v>564.1142174299689</v>
      </c>
      <c r="AI23" s="123">
        <v>833.91216096042672</v>
      </c>
      <c r="AJ23" s="123">
        <v>187.36596934835495</v>
      </c>
      <c r="AK23" s="123">
        <v>79.571431747443299</v>
      </c>
      <c r="AL23" s="123">
        <v>132.61797465540241</v>
      </c>
      <c r="AM23" s="122">
        <v>4602.7008004628806</v>
      </c>
      <c r="AN23" s="138">
        <v>2968.2541939588364</v>
      </c>
      <c r="AO23" s="139">
        <v>607.23671484914155</v>
      </c>
      <c r="AP23" s="140">
        <v>805.74626693211098</v>
      </c>
      <c r="AQ23" s="140">
        <v>182.53282749806291</v>
      </c>
      <c r="AR23" s="139">
        <v>78.205729112909637</v>
      </c>
      <c r="AS23" s="141">
        <v>106.30472872222902</v>
      </c>
      <c r="AT23" s="122">
        <v>4748.2804610732901</v>
      </c>
      <c r="AU23" s="136">
        <v>3299.6631030996</v>
      </c>
      <c r="AV23" s="142">
        <v>0.96</v>
      </c>
      <c r="AW23" s="143">
        <v>-1</v>
      </c>
      <c r="AX23" s="213">
        <v>-0.43683184940090541</v>
      </c>
      <c r="AY23" s="214">
        <v>-2.9223629168351237E-2</v>
      </c>
      <c r="AZ23" s="214">
        <v>-7.3256926185722937E-2</v>
      </c>
      <c r="BA23" s="214">
        <v>-3.7435208806145447E-2</v>
      </c>
      <c r="BB23" s="203">
        <v>1.1521236844298488</v>
      </c>
      <c r="BC23" s="139">
        <v>249</v>
      </c>
      <c r="BD23" s="204">
        <v>0.9</v>
      </c>
      <c r="BE23" s="139">
        <v>18854.510251737367</v>
      </c>
      <c r="BF23" s="139">
        <v>11000</v>
      </c>
      <c r="BG23" s="205">
        <v>0.65</v>
      </c>
      <c r="BH23" s="205">
        <v>0.65</v>
      </c>
      <c r="BI23" s="204">
        <v>0.2</v>
      </c>
      <c r="BJ23" s="142">
        <v>0.6</v>
      </c>
      <c r="BK23" s="205">
        <v>0.2</v>
      </c>
      <c r="BL23" s="170"/>
    </row>
    <row r="24" spans="1:64" x14ac:dyDescent="0.2">
      <c r="A24" s="91">
        <v>20</v>
      </c>
      <c r="B24" s="132" t="s">
        <v>35</v>
      </c>
      <c r="C24" s="155">
        <v>0</v>
      </c>
      <c r="D24" s="155">
        <v>0</v>
      </c>
      <c r="E24" s="155">
        <v>761700</v>
      </c>
      <c r="F24" s="155">
        <v>0</v>
      </c>
      <c r="G24" s="97"/>
      <c r="H24" s="97"/>
      <c r="I24" s="164">
        <v>0</v>
      </c>
      <c r="J24" s="164"/>
      <c r="K24" s="165">
        <v>0</v>
      </c>
      <c r="L24" s="166">
        <v>0.95</v>
      </c>
      <c r="M24" s="118">
        <v>0.92</v>
      </c>
      <c r="N24" s="133">
        <v>6188</v>
      </c>
      <c r="O24" s="133">
        <v>6347</v>
      </c>
      <c r="P24" s="167">
        <v>1160.9780000000003</v>
      </c>
      <c r="Q24" s="133">
        <v>0</v>
      </c>
      <c r="R24" s="168">
        <v>0</v>
      </c>
      <c r="S24" s="169">
        <v>1124.5537099999999</v>
      </c>
      <c r="T24" s="135">
        <v>805</v>
      </c>
      <c r="U24" s="97">
        <v>17</v>
      </c>
      <c r="V24" s="139">
        <v>0.92</v>
      </c>
      <c r="W24" s="136">
        <v>63909.599999999999</v>
      </c>
      <c r="X24" s="123">
        <v>205230.88000000003</v>
      </c>
      <c r="Y24" s="137">
        <v>564931.89999999991</v>
      </c>
      <c r="Z24" s="123">
        <v>2485.7498910389054</v>
      </c>
      <c r="AA24" s="123">
        <v>391.02621202327083</v>
      </c>
      <c r="AB24" s="123">
        <v>286.53058338720103</v>
      </c>
      <c r="AC24" s="123">
        <v>154.40410842198099</v>
      </c>
      <c r="AD24" s="123">
        <v>81.225670652876531</v>
      </c>
      <c r="AE24" s="123">
        <v>61.494869101486749</v>
      </c>
      <c r="AF24" s="122">
        <v>3460.4313346257218</v>
      </c>
      <c r="AG24" s="123">
        <v>2507.3933544655583</v>
      </c>
      <c r="AH24" s="123">
        <v>377.28867969119267</v>
      </c>
      <c r="AI24" s="123">
        <v>322.44993697809991</v>
      </c>
      <c r="AJ24" s="123">
        <v>159.33322243716569</v>
      </c>
      <c r="AK24" s="123">
        <v>90.564148416574767</v>
      </c>
      <c r="AL24" s="123">
        <v>118.92447613045533</v>
      </c>
      <c r="AM24" s="122">
        <v>3575.9538181190464</v>
      </c>
      <c r="AN24" s="138">
        <v>2496.5716227522316</v>
      </c>
      <c r="AO24" s="139">
        <v>384.15744585723178</v>
      </c>
      <c r="AP24" s="140">
        <v>304.49026018265045</v>
      </c>
      <c r="AQ24" s="140">
        <v>156.86866542957335</v>
      </c>
      <c r="AR24" s="139">
        <v>85.894909534725656</v>
      </c>
      <c r="AS24" s="141">
        <v>90.209672615971044</v>
      </c>
      <c r="AT24" s="122">
        <v>3518.1925763723839</v>
      </c>
      <c r="AU24" s="136">
        <v>3299.6631030996</v>
      </c>
      <c r="AV24" s="142">
        <v>0.96</v>
      </c>
      <c r="AW24" s="143">
        <v>-0.33113906851203079</v>
      </c>
      <c r="AX24" s="213">
        <v>-0.39254523748204562</v>
      </c>
      <c r="AY24" s="214">
        <v>-2.9223629168351237E-2</v>
      </c>
      <c r="AZ24" s="214">
        <v>-7.3256926185722937E-2</v>
      </c>
      <c r="BA24" s="214">
        <v>-3.2659153752596308E-2</v>
      </c>
      <c r="BB24" s="203">
        <v>1.1521236844298488</v>
      </c>
      <c r="BC24" s="139">
        <v>249</v>
      </c>
      <c r="BD24" s="204">
        <v>0.9</v>
      </c>
      <c r="BE24" s="139">
        <v>18854.510251737367</v>
      </c>
      <c r="BF24" s="139">
        <v>11000</v>
      </c>
      <c r="BG24" s="205">
        <v>0.65</v>
      </c>
      <c r="BH24" s="205">
        <v>0.65</v>
      </c>
      <c r="BI24" s="204">
        <v>0.2</v>
      </c>
      <c r="BJ24" s="142">
        <v>0.6</v>
      </c>
      <c r="BK24" s="205">
        <v>0.2</v>
      </c>
      <c r="BL24" s="170"/>
    </row>
    <row r="25" spans="1:64" x14ac:dyDescent="0.2">
      <c r="A25" s="91">
        <v>21</v>
      </c>
      <c r="B25" s="132" t="s">
        <v>36</v>
      </c>
      <c r="C25" s="155">
        <v>0</v>
      </c>
      <c r="D25" s="155">
        <v>0</v>
      </c>
      <c r="E25" s="155">
        <v>819400</v>
      </c>
      <c r="F25" s="155">
        <v>0</v>
      </c>
      <c r="G25" s="97"/>
      <c r="H25" s="97"/>
      <c r="I25" s="164">
        <v>0</v>
      </c>
      <c r="J25" s="164"/>
      <c r="K25" s="165">
        <v>0</v>
      </c>
      <c r="L25" s="166">
        <v>1.06</v>
      </c>
      <c r="M25" s="118">
        <v>1.03</v>
      </c>
      <c r="N25" s="133">
        <v>9220</v>
      </c>
      <c r="O25" s="133">
        <v>9329</v>
      </c>
      <c r="P25" s="167">
        <v>1307.6589999999999</v>
      </c>
      <c r="Q25" s="133">
        <v>0</v>
      </c>
      <c r="R25" s="168">
        <v>0</v>
      </c>
      <c r="S25" s="169">
        <v>421.82520999999997</v>
      </c>
      <c r="T25" s="135">
        <v>1110</v>
      </c>
      <c r="U25" s="97">
        <v>17</v>
      </c>
      <c r="V25" s="139">
        <v>0.97</v>
      </c>
      <c r="W25" s="136">
        <v>53306.8</v>
      </c>
      <c r="X25" s="123">
        <v>887012.13</v>
      </c>
      <c r="Y25" s="137">
        <v>912788.94999999972</v>
      </c>
      <c r="Z25" s="123">
        <v>2255.3018307641437</v>
      </c>
      <c r="AA25" s="123">
        <v>253.1722993492408</v>
      </c>
      <c r="AB25" s="123">
        <v>404.52140455531452</v>
      </c>
      <c r="AC25" s="123">
        <v>174.47488881609584</v>
      </c>
      <c r="AD25" s="123">
        <v>95.478080260303685</v>
      </c>
      <c r="AE25" s="123">
        <v>77.880851409978305</v>
      </c>
      <c r="AF25" s="122">
        <v>3260.8293551550764</v>
      </c>
      <c r="AG25" s="123">
        <v>2377.9263514544432</v>
      </c>
      <c r="AH25" s="123">
        <v>254.99295208489656</v>
      </c>
      <c r="AI25" s="123">
        <v>405.04616786365096</v>
      </c>
      <c r="AJ25" s="123">
        <v>180.33472155769394</v>
      </c>
      <c r="AK25" s="123">
        <v>105.91747239789902</v>
      </c>
      <c r="AL25" s="123">
        <v>110.33388894844035</v>
      </c>
      <c r="AM25" s="122">
        <v>3434.5515543070242</v>
      </c>
      <c r="AN25" s="138">
        <v>2316.6140911092934</v>
      </c>
      <c r="AO25" s="139">
        <v>254.08262571706868</v>
      </c>
      <c r="AP25" s="140">
        <v>404.78378620948274</v>
      </c>
      <c r="AQ25" s="140">
        <v>177.40480518689489</v>
      </c>
      <c r="AR25" s="139">
        <v>100.69777632910134</v>
      </c>
      <c r="AS25" s="141">
        <v>94.107370179209326</v>
      </c>
      <c r="AT25" s="122">
        <v>3347.6904547310505</v>
      </c>
      <c r="AU25" s="136">
        <v>3299.6631030996</v>
      </c>
      <c r="AV25" s="142">
        <v>0.96</v>
      </c>
      <c r="AW25" s="143">
        <v>-7.2776144307482582E-2</v>
      </c>
      <c r="AX25" s="213">
        <v>-0.64842002063841275</v>
      </c>
      <c r="AY25" s="214">
        <v>-2.9223629168351237E-2</v>
      </c>
      <c r="AZ25" s="214">
        <v>-7.3256926185722937E-2</v>
      </c>
      <c r="BA25" s="214">
        <v>-5.2220279808031005E-2</v>
      </c>
      <c r="BB25" s="203">
        <v>1.1521236844298488</v>
      </c>
      <c r="BC25" s="139">
        <v>249</v>
      </c>
      <c r="BD25" s="204">
        <v>0.9</v>
      </c>
      <c r="BE25" s="139">
        <v>18854.510251737367</v>
      </c>
      <c r="BF25" s="139">
        <v>11000</v>
      </c>
      <c r="BG25" s="205">
        <v>0.65</v>
      </c>
      <c r="BH25" s="205">
        <v>0.65</v>
      </c>
      <c r="BI25" s="204">
        <v>0.2</v>
      </c>
      <c r="BJ25" s="142">
        <v>0.6</v>
      </c>
      <c r="BK25" s="205">
        <v>0.2</v>
      </c>
      <c r="BL25" s="170"/>
    </row>
    <row r="26" spans="1:64" x14ac:dyDescent="0.2">
      <c r="A26" s="91">
        <v>22</v>
      </c>
      <c r="B26" s="132" t="s">
        <v>37</v>
      </c>
      <c r="C26" s="155">
        <v>1066900</v>
      </c>
      <c r="D26" s="155">
        <v>0</v>
      </c>
      <c r="E26" s="155">
        <v>131500</v>
      </c>
      <c r="F26" s="155">
        <v>168500</v>
      </c>
      <c r="G26" s="97"/>
      <c r="H26" s="97"/>
      <c r="I26" s="164">
        <v>0</v>
      </c>
      <c r="J26" s="164"/>
      <c r="K26" s="165">
        <v>0</v>
      </c>
      <c r="L26" s="166">
        <v>1.19</v>
      </c>
      <c r="M26" s="118">
        <v>1.19</v>
      </c>
      <c r="N26" s="133">
        <v>4471</v>
      </c>
      <c r="O26" s="133">
        <v>4462</v>
      </c>
      <c r="P26" s="167">
        <v>765.25</v>
      </c>
      <c r="Q26" s="133">
        <v>0</v>
      </c>
      <c r="R26" s="168">
        <v>0</v>
      </c>
      <c r="S26" s="169">
        <v>439.35968000000003</v>
      </c>
      <c r="T26" s="135">
        <v>502</v>
      </c>
      <c r="U26" s="97">
        <v>15</v>
      </c>
      <c r="V26" s="139">
        <v>1.01</v>
      </c>
      <c r="W26" s="136">
        <v>75470.8</v>
      </c>
      <c r="X26" s="123">
        <v>1009109.8099999999</v>
      </c>
      <c r="Y26" s="137">
        <v>655933.94999999995</v>
      </c>
      <c r="Z26" s="123">
        <v>2136.4884519232542</v>
      </c>
      <c r="AA26" s="123">
        <v>151.83072019682399</v>
      </c>
      <c r="AB26" s="123">
        <v>382.40895772757773</v>
      </c>
      <c r="AC26" s="123">
        <v>129.84815493864085</v>
      </c>
      <c r="AD26" s="123">
        <v>78.796913442182955</v>
      </c>
      <c r="AE26" s="123">
        <v>24.133404160143147</v>
      </c>
      <c r="AF26" s="122">
        <v>2903.5066023886229</v>
      </c>
      <c r="AG26" s="123">
        <v>2182.4956141460925</v>
      </c>
      <c r="AH26" s="123">
        <v>163.55506499327657</v>
      </c>
      <c r="AI26" s="123">
        <v>299.11917301658451</v>
      </c>
      <c r="AJ26" s="123">
        <v>134.76521826937341</v>
      </c>
      <c r="AK26" s="123">
        <v>70.836631555356334</v>
      </c>
      <c r="AL26" s="123">
        <v>103.81082474226805</v>
      </c>
      <c r="AM26" s="122">
        <v>2954.5825267229511</v>
      </c>
      <c r="AN26" s="138">
        <v>2159.4920330346731</v>
      </c>
      <c r="AO26" s="139">
        <v>157.6928925950503</v>
      </c>
      <c r="AP26" s="140">
        <v>340.76406537208112</v>
      </c>
      <c r="AQ26" s="140">
        <v>132.30668660400713</v>
      </c>
      <c r="AR26" s="139">
        <v>74.816772498769637</v>
      </c>
      <c r="AS26" s="141">
        <v>63.972114451205599</v>
      </c>
      <c r="AT26" s="122">
        <v>2929.0445645557866</v>
      </c>
      <c r="AU26" s="136">
        <v>3299.6631030996</v>
      </c>
      <c r="AV26" s="142">
        <v>0.96</v>
      </c>
      <c r="AW26" s="143">
        <v>0</v>
      </c>
      <c r="AX26" s="213">
        <v>-0.46086712129724389</v>
      </c>
      <c r="AY26" s="214">
        <v>-2.9223629168351237E-2</v>
      </c>
      <c r="AZ26" s="214">
        <v>-7.3256926185722937E-2</v>
      </c>
      <c r="BA26" s="214">
        <v>-4.4326820975097006E-2</v>
      </c>
      <c r="BB26" s="203">
        <v>1.1521236844298488</v>
      </c>
      <c r="BC26" s="139">
        <v>249</v>
      </c>
      <c r="BD26" s="204">
        <v>0.9</v>
      </c>
      <c r="BE26" s="139">
        <v>18854.510251737367</v>
      </c>
      <c r="BF26" s="139">
        <v>11000</v>
      </c>
      <c r="BG26" s="205">
        <v>0.65</v>
      </c>
      <c r="BH26" s="205">
        <v>0.65</v>
      </c>
      <c r="BI26" s="204">
        <v>0.2</v>
      </c>
      <c r="BJ26" s="142">
        <v>0.6</v>
      </c>
      <c r="BK26" s="205">
        <v>0.2</v>
      </c>
      <c r="BL26" s="170"/>
    </row>
    <row r="27" spans="1:64" x14ac:dyDescent="0.2">
      <c r="A27" s="91">
        <v>23</v>
      </c>
      <c r="B27" s="132" t="s">
        <v>38</v>
      </c>
      <c r="C27" s="155">
        <v>1118500</v>
      </c>
      <c r="D27" s="155">
        <v>126500</v>
      </c>
      <c r="E27" s="155">
        <v>722800</v>
      </c>
      <c r="F27" s="155">
        <v>0</v>
      </c>
      <c r="G27" s="97"/>
      <c r="H27" s="97"/>
      <c r="I27" s="164">
        <v>0</v>
      </c>
      <c r="J27" s="164"/>
      <c r="K27" s="165">
        <v>0</v>
      </c>
      <c r="L27" s="166">
        <v>1.4</v>
      </c>
      <c r="M27" s="118">
        <v>1.4</v>
      </c>
      <c r="N27" s="133">
        <v>2137</v>
      </c>
      <c r="O27" s="133">
        <v>2137</v>
      </c>
      <c r="P27" s="167">
        <v>686.45500000000004</v>
      </c>
      <c r="Q27" s="133">
        <v>0</v>
      </c>
      <c r="R27" s="168">
        <v>0</v>
      </c>
      <c r="S27" s="169">
        <v>438.05009999999999</v>
      </c>
      <c r="T27" s="135">
        <v>298</v>
      </c>
      <c r="U27" s="97">
        <v>6</v>
      </c>
      <c r="V27" s="139">
        <v>0.94</v>
      </c>
      <c r="W27" s="136">
        <v>71108.100000000006</v>
      </c>
      <c r="X27" s="123">
        <v>345225.3</v>
      </c>
      <c r="Y27" s="137">
        <v>244760.84999999995</v>
      </c>
      <c r="Z27" s="123">
        <v>2088.1698471150671</v>
      </c>
      <c r="AA27" s="123">
        <v>110.46340664482919</v>
      </c>
      <c r="AB27" s="123">
        <v>115.30996724379972</v>
      </c>
      <c r="AC27" s="123">
        <v>138.51068931674135</v>
      </c>
      <c r="AD27" s="123">
        <v>51.959382311651844</v>
      </c>
      <c r="AE27" s="123">
        <v>65.227702386523163</v>
      </c>
      <c r="AF27" s="122">
        <v>2569.6409950186126</v>
      </c>
      <c r="AG27" s="123">
        <v>2094.5736102525484</v>
      </c>
      <c r="AH27" s="123">
        <v>112.32035563874589</v>
      </c>
      <c r="AI27" s="123">
        <v>112.0335985025737</v>
      </c>
      <c r="AJ27" s="123">
        <v>145.42755033694365</v>
      </c>
      <c r="AK27" s="123">
        <v>103.6815395414132</v>
      </c>
      <c r="AL27" s="123">
        <v>150.92519887693027</v>
      </c>
      <c r="AM27" s="122">
        <v>2718.9618531491546</v>
      </c>
      <c r="AN27" s="138">
        <v>2091.3717286838078</v>
      </c>
      <c r="AO27" s="139">
        <v>111.39188114178754</v>
      </c>
      <c r="AP27" s="140">
        <v>113.67178287318671</v>
      </c>
      <c r="AQ27" s="140">
        <v>141.9691198268425</v>
      </c>
      <c r="AR27" s="139">
        <v>77.820460926532519</v>
      </c>
      <c r="AS27" s="141">
        <v>108.07645063172671</v>
      </c>
      <c r="AT27" s="122">
        <v>2644.3014240838838</v>
      </c>
      <c r="AU27" s="136">
        <v>3299.6631030996</v>
      </c>
      <c r="AV27" s="142">
        <v>0.96</v>
      </c>
      <c r="AW27" s="143">
        <v>0</v>
      </c>
      <c r="AX27" s="213">
        <v>0.4353421488753168</v>
      </c>
      <c r="AY27" s="214">
        <v>-2.9223629168351237E-2</v>
      </c>
      <c r="AZ27" s="214">
        <v>-7.3256926185722937E-2</v>
      </c>
      <c r="BA27" s="214">
        <v>-2.8537558018658718E-2</v>
      </c>
      <c r="BB27" s="203">
        <v>1.1521236844298488</v>
      </c>
      <c r="BC27" s="139">
        <v>249</v>
      </c>
      <c r="BD27" s="204">
        <v>0.9</v>
      </c>
      <c r="BE27" s="139">
        <v>18854.510251737367</v>
      </c>
      <c r="BF27" s="139">
        <v>11000</v>
      </c>
      <c r="BG27" s="205">
        <v>0.65</v>
      </c>
      <c r="BH27" s="205">
        <v>0.65</v>
      </c>
      <c r="BI27" s="204">
        <v>0.2</v>
      </c>
      <c r="BJ27" s="142">
        <v>0.6</v>
      </c>
      <c r="BK27" s="205">
        <v>0.2</v>
      </c>
      <c r="BL27" s="170"/>
    </row>
    <row r="28" spans="1:64" x14ac:dyDescent="0.2">
      <c r="A28" s="91">
        <v>24</v>
      </c>
      <c r="B28" s="132" t="s">
        <v>39</v>
      </c>
      <c r="C28" s="155">
        <v>391200</v>
      </c>
      <c r="D28" s="155">
        <v>1181900</v>
      </c>
      <c r="E28" s="155">
        <v>887400</v>
      </c>
      <c r="F28" s="155">
        <v>329900</v>
      </c>
      <c r="G28" s="97"/>
      <c r="H28" s="97"/>
      <c r="I28" s="164">
        <v>0</v>
      </c>
      <c r="J28" s="164"/>
      <c r="K28" s="165">
        <v>0</v>
      </c>
      <c r="L28" s="166">
        <v>1.53</v>
      </c>
      <c r="M28" s="118">
        <v>1.51</v>
      </c>
      <c r="N28" s="133">
        <v>11273</v>
      </c>
      <c r="O28" s="133">
        <v>11358</v>
      </c>
      <c r="P28" s="167">
        <v>4030.1392000000001</v>
      </c>
      <c r="Q28" s="133">
        <v>138</v>
      </c>
      <c r="R28" s="168">
        <v>0</v>
      </c>
      <c r="S28" s="169">
        <v>3946.22568</v>
      </c>
      <c r="T28" s="135">
        <v>1324</v>
      </c>
      <c r="U28" s="97">
        <v>24</v>
      </c>
      <c r="V28" s="139">
        <v>1.03</v>
      </c>
      <c r="W28" s="136">
        <v>582254.94999999995</v>
      </c>
      <c r="X28" s="123">
        <v>2371146.8000000003</v>
      </c>
      <c r="Y28" s="137">
        <v>1438444.0499999996</v>
      </c>
      <c r="Z28" s="123">
        <v>2164.8684549073259</v>
      </c>
      <c r="AA28" s="123">
        <v>218.69579969839447</v>
      </c>
      <c r="AB28" s="123">
        <v>419.45831189567991</v>
      </c>
      <c r="AC28" s="123">
        <v>146.7658918083614</v>
      </c>
      <c r="AD28" s="123">
        <v>76.843537656347024</v>
      </c>
      <c r="AE28" s="123">
        <v>101.24435376563468</v>
      </c>
      <c r="AF28" s="122">
        <v>3127.8763497317436</v>
      </c>
      <c r="AG28" s="123">
        <v>2166.9413661700578</v>
      </c>
      <c r="AH28" s="123">
        <v>229.17393467159712</v>
      </c>
      <c r="AI28" s="123">
        <v>392.5823604507836</v>
      </c>
      <c r="AJ28" s="123">
        <v>152.63160396048707</v>
      </c>
      <c r="AK28" s="123">
        <v>90.334636379644309</v>
      </c>
      <c r="AL28" s="123">
        <v>106.41079855608382</v>
      </c>
      <c r="AM28" s="122">
        <v>3138.0747001886539</v>
      </c>
      <c r="AN28" s="138">
        <v>2165.9049105386921</v>
      </c>
      <c r="AO28" s="139">
        <v>223.9348671849958</v>
      </c>
      <c r="AP28" s="140">
        <v>406.02033617323173</v>
      </c>
      <c r="AQ28" s="140">
        <v>149.69874788442422</v>
      </c>
      <c r="AR28" s="139">
        <v>83.589087017995666</v>
      </c>
      <c r="AS28" s="141">
        <v>103.82757616085925</v>
      </c>
      <c r="AT28" s="122">
        <v>3132.975524960199</v>
      </c>
      <c r="AU28" s="136">
        <v>3299.6631030996</v>
      </c>
      <c r="AV28" s="142">
        <v>0.96</v>
      </c>
      <c r="AW28" s="143">
        <v>0</v>
      </c>
      <c r="AX28" s="213">
        <v>0.63649597214492448</v>
      </c>
      <c r="AY28" s="214">
        <v>-2.0840926832096311E-2</v>
      </c>
      <c r="AZ28" s="214">
        <v>-7.3256926185722937E-2</v>
      </c>
      <c r="BA28" s="214">
        <v>-7.4208337081375173E-3</v>
      </c>
      <c r="BB28" s="203">
        <v>1.1521236844298488</v>
      </c>
      <c r="BC28" s="139">
        <v>249</v>
      </c>
      <c r="BD28" s="204">
        <v>0.9</v>
      </c>
      <c r="BE28" s="139">
        <v>18854.510251737367</v>
      </c>
      <c r="BF28" s="139">
        <v>11000</v>
      </c>
      <c r="BG28" s="205">
        <v>0.65</v>
      </c>
      <c r="BH28" s="205">
        <v>0.65</v>
      </c>
      <c r="BI28" s="204">
        <v>0.2</v>
      </c>
      <c r="BJ28" s="142">
        <v>0.6</v>
      </c>
      <c r="BK28" s="205">
        <v>0.2</v>
      </c>
      <c r="BL28" s="170"/>
    </row>
    <row r="29" spans="1:64" x14ac:dyDescent="0.2">
      <c r="A29" s="91">
        <v>25</v>
      </c>
      <c r="B29" s="132" t="s">
        <v>40</v>
      </c>
      <c r="C29" s="155">
        <v>991500</v>
      </c>
      <c r="D29" s="155">
        <v>232800</v>
      </c>
      <c r="E29" s="155">
        <v>323400</v>
      </c>
      <c r="F29" s="155">
        <v>0</v>
      </c>
      <c r="G29" s="97"/>
      <c r="H29" s="97"/>
      <c r="I29" s="164">
        <v>0</v>
      </c>
      <c r="J29" s="164"/>
      <c r="K29" s="165">
        <v>0</v>
      </c>
      <c r="L29" s="166">
        <v>1.46</v>
      </c>
      <c r="M29" s="118">
        <v>1.46</v>
      </c>
      <c r="N29" s="133">
        <v>1490</v>
      </c>
      <c r="O29" s="133">
        <v>1539</v>
      </c>
      <c r="P29" s="167">
        <v>596.43599999999992</v>
      </c>
      <c r="Q29" s="133">
        <v>0</v>
      </c>
      <c r="R29" s="168">
        <v>1296.55330312457</v>
      </c>
      <c r="S29" s="169">
        <v>543.72093000000007</v>
      </c>
      <c r="T29" s="135">
        <v>198</v>
      </c>
      <c r="U29" s="97">
        <v>7</v>
      </c>
      <c r="V29" s="139">
        <v>0.9</v>
      </c>
      <c r="W29" s="136">
        <v>69495.599999999991</v>
      </c>
      <c r="X29" s="123">
        <v>31979.1</v>
      </c>
      <c r="Y29" s="137">
        <v>67959.899999999994</v>
      </c>
      <c r="Z29" s="123">
        <v>2110.9362796949636</v>
      </c>
      <c r="AA29" s="123">
        <v>75.875771812080529</v>
      </c>
      <c r="AB29" s="123">
        <v>25.983993288590604</v>
      </c>
      <c r="AC29" s="123">
        <v>135.26873159707006</v>
      </c>
      <c r="AD29" s="123">
        <v>35.843624161073826</v>
      </c>
      <c r="AE29" s="123">
        <v>49.141711409395967</v>
      </c>
      <c r="AF29" s="122">
        <v>2433.0501119631749</v>
      </c>
      <c r="AG29" s="123">
        <v>2114.4157848670225</v>
      </c>
      <c r="AH29" s="123">
        <v>99.812735542560119</v>
      </c>
      <c r="AI29" s="123">
        <v>29.305588044184532</v>
      </c>
      <c r="AJ29" s="123">
        <v>135.95846290213538</v>
      </c>
      <c r="AK29" s="123">
        <v>64.66676413255361</v>
      </c>
      <c r="AL29" s="123">
        <v>127.32352176738141</v>
      </c>
      <c r="AM29" s="122">
        <v>2571.4828572558372</v>
      </c>
      <c r="AN29" s="138">
        <v>2112.6760322809932</v>
      </c>
      <c r="AO29" s="139">
        <v>87.844253677320324</v>
      </c>
      <c r="AP29" s="140">
        <v>27.644790666387568</v>
      </c>
      <c r="AQ29" s="140">
        <v>135.61359724960272</v>
      </c>
      <c r="AR29" s="139">
        <v>50.255194146813722</v>
      </c>
      <c r="AS29" s="141">
        <v>88.23261658838868</v>
      </c>
      <c r="AT29" s="122">
        <v>2502.2664846095063</v>
      </c>
      <c r="AU29" s="136">
        <v>3299.6631030996</v>
      </c>
      <c r="AV29" s="142">
        <v>0.96</v>
      </c>
      <c r="AW29" s="143">
        <v>0</v>
      </c>
      <c r="AX29" s="213">
        <v>0.83235195319978683</v>
      </c>
      <c r="AY29" s="214">
        <v>-2.9223629168351237E-2</v>
      </c>
      <c r="AZ29" s="214">
        <v>-1.8920727430077534E-2</v>
      </c>
      <c r="BA29" s="214">
        <v>-6.5529662731138739E-3</v>
      </c>
      <c r="BB29" s="203">
        <v>1.1521236844298488</v>
      </c>
      <c r="BC29" s="139">
        <v>249</v>
      </c>
      <c r="BD29" s="204">
        <v>0.9</v>
      </c>
      <c r="BE29" s="139">
        <v>18854.510251737367</v>
      </c>
      <c r="BF29" s="139">
        <v>11000</v>
      </c>
      <c r="BG29" s="205">
        <v>0.65</v>
      </c>
      <c r="BH29" s="205">
        <v>0.65</v>
      </c>
      <c r="BI29" s="204">
        <v>0.2</v>
      </c>
      <c r="BJ29" s="142">
        <v>0.6</v>
      </c>
      <c r="BK29" s="205">
        <v>0.2</v>
      </c>
      <c r="BL29" s="170"/>
    </row>
    <row r="30" spans="1:64" x14ac:dyDescent="0.2">
      <c r="A30" s="91">
        <v>26</v>
      </c>
      <c r="B30" s="132" t="s">
        <v>41</v>
      </c>
      <c r="C30" s="155">
        <v>3906500</v>
      </c>
      <c r="D30" s="155">
        <v>1541500</v>
      </c>
      <c r="E30" s="155">
        <v>1836000</v>
      </c>
      <c r="F30" s="155">
        <v>0</v>
      </c>
      <c r="G30" s="97"/>
      <c r="H30" s="97"/>
      <c r="I30" s="164">
        <v>0</v>
      </c>
      <c r="J30" s="164"/>
      <c r="K30" s="165">
        <v>0</v>
      </c>
      <c r="L30" s="166">
        <v>1.38</v>
      </c>
      <c r="M30" s="118">
        <v>1.35</v>
      </c>
      <c r="N30" s="133">
        <v>8630</v>
      </c>
      <c r="O30" s="133">
        <v>8719</v>
      </c>
      <c r="P30" s="167">
        <v>3356.3703999999993</v>
      </c>
      <c r="Q30" s="133">
        <v>6</v>
      </c>
      <c r="R30" s="168">
        <v>4634.3435739525603</v>
      </c>
      <c r="S30" s="169">
        <v>3460.2138300000001</v>
      </c>
      <c r="T30" s="135">
        <v>1127</v>
      </c>
      <c r="U30" s="97">
        <v>17</v>
      </c>
      <c r="V30" s="139">
        <v>0.93</v>
      </c>
      <c r="W30" s="136">
        <v>201594.95</v>
      </c>
      <c r="X30" s="123">
        <v>890248.69</v>
      </c>
      <c r="Y30" s="137">
        <v>610482.24999999988</v>
      </c>
      <c r="Z30" s="123">
        <v>2041.1527509066086</v>
      </c>
      <c r="AA30" s="123">
        <v>162.76325028968714</v>
      </c>
      <c r="AB30" s="123">
        <v>181.01332560834302</v>
      </c>
      <c r="AC30" s="123">
        <v>146.22921897341251</v>
      </c>
      <c r="AD30" s="123">
        <v>56.575376593279259</v>
      </c>
      <c r="AE30" s="123">
        <v>37.482317497103132</v>
      </c>
      <c r="AF30" s="122">
        <v>2625.2162398684336</v>
      </c>
      <c r="AG30" s="123">
        <v>2138.1760199920659</v>
      </c>
      <c r="AH30" s="123">
        <v>168.42454409909399</v>
      </c>
      <c r="AI30" s="123">
        <v>219.10463355889434</v>
      </c>
      <c r="AJ30" s="123">
        <v>149.48498678201281</v>
      </c>
      <c r="AK30" s="123">
        <v>72.872921206560392</v>
      </c>
      <c r="AL30" s="123">
        <v>56.740417479068704</v>
      </c>
      <c r="AM30" s="122">
        <v>2804.8035231176964</v>
      </c>
      <c r="AN30" s="138">
        <v>2089.6643854493373</v>
      </c>
      <c r="AO30" s="139">
        <v>165.59389719439056</v>
      </c>
      <c r="AP30" s="140">
        <v>200.05897958361868</v>
      </c>
      <c r="AQ30" s="140">
        <v>147.85710287771266</v>
      </c>
      <c r="AR30" s="139">
        <v>64.724148899919825</v>
      </c>
      <c r="AS30" s="141">
        <v>47.111367488085918</v>
      </c>
      <c r="AT30" s="122">
        <v>2715.0098814930648</v>
      </c>
      <c r="AU30" s="136">
        <v>3299.6631030996</v>
      </c>
      <c r="AV30" s="142">
        <v>0.96</v>
      </c>
      <c r="AW30" s="143">
        <v>0</v>
      </c>
      <c r="AX30" s="213">
        <v>0.81679607405873444</v>
      </c>
      <c r="AY30" s="214">
        <v>-2.8748850283979856E-2</v>
      </c>
      <c r="AZ30" s="214">
        <v>0.12096001262380381</v>
      </c>
      <c r="BA30" s="214">
        <v>-9.5343248429260411E-5</v>
      </c>
      <c r="BB30" s="203">
        <v>1.1521236844298488</v>
      </c>
      <c r="BC30" s="139">
        <v>249</v>
      </c>
      <c r="BD30" s="204">
        <v>0.9</v>
      </c>
      <c r="BE30" s="139">
        <v>18854.510251737367</v>
      </c>
      <c r="BF30" s="139">
        <v>11000</v>
      </c>
      <c r="BG30" s="205">
        <v>0.65</v>
      </c>
      <c r="BH30" s="205">
        <v>0.65</v>
      </c>
      <c r="BI30" s="204">
        <v>0.2</v>
      </c>
      <c r="BJ30" s="142">
        <v>0.6</v>
      </c>
      <c r="BK30" s="205">
        <v>0.2</v>
      </c>
      <c r="BL30" s="170"/>
    </row>
    <row r="31" spans="1:64" x14ac:dyDescent="0.2">
      <c r="A31" s="91">
        <v>27</v>
      </c>
      <c r="B31" s="132" t="s">
        <v>42</v>
      </c>
      <c r="C31" s="155">
        <v>1098900</v>
      </c>
      <c r="D31" s="155">
        <v>325100</v>
      </c>
      <c r="E31" s="155">
        <v>0</v>
      </c>
      <c r="F31" s="155">
        <v>77200</v>
      </c>
      <c r="G31" s="97"/>
      <c r="H31" s="97"/>
      <c r="I31" s="164">
        <v>0</v>
      </c>
      <c r="J31" s="164"/>
      <c r="K31" s="165">
        <v>0</v>
      </c>
      <c r="L31" s="166">
        <v>1.43</v>
      </c>
      <c r="M31" s="118">
        <v>1.43</v>
      </c>
      <c r="N31" s="133">
        <v>2223</v>
      </c>
      <c r="O31" s="133">
        <v>2256</v>
      </c>
      <c r="P31" s="167">
        <v>877.57999999999993</v>
      </c>
      <c r="Q31" s="133">
        <v>0</v>
      </c>
      <c r="R31" s="168">
        <v>0</v>
      </c>
      <c r="S31" s="169">
        <v>933.35059000000001</v>
      </c>
      <c r="T31" s="135">
        <v>245</v>
      </c>
      <c r="U31" s="97">
        <v>0</v>
      </c>
      <c r="V31" s="139">
        <v>0.99</v>
      </c>
      <c r="W31" s="136">
        <v>189295.85</v>
      </c>
      <c r="X31" s="123">
        <v>441646.97999999992</v>
      </c>
      <c r="Y31" s="137">
        <v>224909.05</v>
      </c>
      <c r="Z31" s="123">
        <v>1846.1731096901372</v>
      </c>
      <c r="AA31" s="123">
        <v>223.48792172739539</v>
      </c>
      <c r="AB31" s="123">
        <v>163.64644624381467</v>
      </c>
      <c r="AC31" s="123">
        <v>149.35338456621619</v>
      </c>
      <c r="AD31" s="123">
        <v>94.777912730544301</v>
      </c>
      <c r="AE31" s="123">
        <v>66.581578947368428</v>
      </c>
      <c r="AF31" s="122">
        <v>2544.0203539054769</v>
      </c>
      <c r="AG31" s="123">
        <v>1917.444483237374</v>
      </c>
      <c r="AH31" s="123">
        <v>256.34756205673756</v>
      </c>
      <c r="AI31" s="123">
        <v>279.8293439716312</v>
      </c>
      <c r="AJ31" s="123">
        <v>155.62508336352926</v>
      </c>
      <c r="AK31" s="123">
        <v>80.497761524822707</v>
      </c>
      <c r="AL31" s="123">
        <v>112.88005319148935</v>
      </c>
      <c r="AM31" s="122">
        <v>2802.624287345584</v>
      </c>
      <c r="AN31" s="138">
        <v>1881.8087964637557</v>
      </c>
      <c r="AO31" s="139">
        <v>239.91774189206649</v>
      </c>
      <c r="AP31" s="140">
        <v>221.73789510772292</v>
      </c>
      <c r="AQ31" s="140">
        <v>152.48923396487271</v>
      </c>
      <c r="AR31" s="139">
        <v>87.637837127683497</v>
      </c>
      <c r="AS31" s="141">
        <v>89.730816069428897</v>
      </c>
      <c r="AT31" s="122">
        <v>2673.3223206255302</v>
      </c>
      <c r="AU31" s="136">
        <v>3299.6631030996</v>
      </c>
      <c r="AV31" s="142">
        <v>0.96</v>
      </c>
      <c r="AW31" s="143">
        <v>0</v>
      </c>
      <c r="AX31" s="213">
        <v>0.84103432435611525</v>
      </c>
      <c r="AY31" s="214">
        <v>-2.9223629168351237E-2</v>
      </c>
      <c r="AZ31" s="214">
        <v>-7.3256926185722937E-2</v>
      </c>
      <c r="BA31" s="214">
        <v>2.4038922059183695E-3</v>
      </c>
      <c r="BB31" s="203">
        <v>1.1521236844298488</v>
      </c>
      <c r="BC31" s="139">
        <v>249</v>
      </c>
      <c r="BD31" s="204">
        <v>0.9</v>
      </c>
      <c r="BE31" s="139">
        <v>18854.510251737367</v>
      </c>
      <c r="BF31" s="139">
        <v>11000</v>
      </c>
      <c r="BG31" s="205">
        <v>0.65</v>
      </c>
      <c r="BH31" s="205">
        <v>0.65</v>
      </c>
      <c r="BI31" s="204">
        <v>0.2</v>
      </c>
      <c r="BJ31" s="142">
        <v>0.6</v>
      </c>
      <c r="BK31" s="205">
        <v>0.2</v>
      </c>
      <c r="BL31" s="170"/>
    </row>
    <row r="32" spans="1:64" x14ac:dyDescent="0.2">
      <c r="A32" s="91">
        <v>28</v>
      </c>
      <c r="B32" s="132" t="s">
        <v>43</v>
      </c>
      <c r="C32" s="155">
        <v>0</v>
      </c>
      <c r="D32" s="155">
        <v>405600</v>
      </c>
      <c r="E32" s="155">
        <v>0</v>
      </c>
      <c r="F32" s="155">
        <v>0</v>
      </c>
      <c r="G32" s="97"/>
      <c r="H32" s="97"/>
      <c r="I32" s="164">
        <v>0</v>
      </c>
      <c r="J32" s="164"/>
      <c r="K32" s="165">
        <v>0</v>
      </c>
      <c r="L32" s="166">
        <v>1.28</v>
      </c>
      <c r="M32" s="118">
        <v>1.22</v>
      </c>
      <c r="N32" s="133">
        <v>5194</v>
      </c>
      <c r="O32" s="133">
        <v>5256</v>
      </c>
      <c r="P32" s="167">
        <v>1946.0299999999997</v>
      </c>
      <c r="Q32" s="133">
        <v>0</v>
      </c>
      <c r="R32" s="168">
        <v>5662.4953443398799</v>
      </c>
      <c r="S32" s="169">
        <v>4156.4202799999994</v>
      </c>
      <c r="T32" s="135">
        <v>550</v>
      </c>
      <c r="U32" s="97">
        <v>12</v>
      </c>
      <c r="V32" s="139">
        <v>0.95</v>
      </c>
      <c r="W32" s="136">
        <v>25081.8</v>
      </c>
      <c r="X32" s="123">
        <v>349115.87</v>
      </c>
      <c r="Y32" s="137">
        <v>433982.65000000008</v>
      </c>
      <c r="Z32" s="123">
        <v>2088.3112488786523</v>
      </c>
      <c r="AA32" s="123">
        <v>506.74320369657289</v>
      </c>
      <c r="AB32" s="123">
        <v>767.40954948016952</v>
      </c>
      <c r="AC32" s="123">
        <v>184.43015248691998</v>
      </c>
      <c r="AD32" s="123">
        <v>79.502137081247582</v>
      </c>
      <c r="AE32" s="123">
        <v>94.397670388910285</v>
      </c>
      <c r="AF32" s="122">
        <v>3720.7939620124725</v>
      </c>
      <c r="AG32" s="123">
        <v>2131.6156352704979</v>
      </c>
      <c r="AH32" s="123">
        <v>480.00173135464235</v>
      </c>
      <c r="AI32" s="123">
        <v>699.37500951293759</v>
      </c>
      <c r="AJ32" s="123">
        <v>188.23689266953389</v>
      </c>
      <c r="AK32" s="123">
        <v>81.392789193302889</v>
      </c>
      <c r="AL32" s="123">
        <v>49.800237823439879</v>
      </c>
      <c r="AM32" s="122">
        <v>3630.4222958243549</v>
      </c>
      <c r="AN32" s="138">
        <v>2109.9634420745751</v>
      </c>
      <c r="AO32" s="139">
        <v>493.37246752560759</v>
      </c>
      <c r="AP32" s="140">
        <v>733.39227949655356</v>
      </c>
      <c r="AQ32" s="140">
        <v>186.33352257822693</v>
      </c>
      <c r="AR32" s="139">
        <v>80.447463137275236</v>
      </c>
      <c r="AS32" s="141">
        <v>72.098954106175086</v>
      </c>
      <c r="AT32" s="122">
        <v>3675.6081289184135</v>
      </c>
      <c r="AU32" s="136">
        <v>3299.6631030996</v>
      </c>
      <c r="AV32" s="142">
        <v>0.96</v>
      </c>
      <c r="AW32" s="143">
        <v>-0.56967183326331439</v>
      </c>
      <c r="AX32" s="213">
        <v>0.72880461795993345</v>
      </c>
      <c r="AY32" s="214">
        <v>-2.9223629168351237E-2</v>
      </c>
      <c r="AZ32" s="214">
        <v>0.16404798965652798</v>
      </c>
      <c r="BA32" s="214">
        <v>5.8298926009586804E-2</v>
      </c>
      <c r="BB32" s="203">
        <v>1.1521236844298488</v>
      </c>
      <c r="BC32" s="139">
        <v>249</v>
      </c>
      <c r="BD32" s="204">
        <v>0.9</v>
      </c>
      <c r="BE32" s="139">
        <v>18854.510251737367</v>
      </c>
      <c r="BF32" s="139">
        <v>11000</v>
      </c>
      <c r="BG32" s="205">
        <v>0.65</v>
      </c>
      <c r="BH32" s="205">
        <v>0.65</v>
      </c>
      <c r="BI32" s="204">
        <v>0.2</v>
      </c>
      <c r="BJ32" s="142">
        <v>0.6</v>
      </c>
      <c r="BK32" s="205">
        <v>0.2</v>
      </c>
      <c r="BL32" s="170"/>
    </row>
    <row r="33" spans="1:64" x14ac:dyDescent="0.2">
      <c r="A33" s="91">
        <v>29</v>
      </c>
      <c r="B33" s="132" t="s">
        <v>44</v>
      </c>
      <c r="C33" s="155">
        <v>1413900</v>
      </c>
      <c r="D33" s="155">
        <v>539300</v>
      </c>
      <c r="E33" s="155">
        <v>293400</v>
      </c>
      <c r="F33" s="155">
        <v>0</v>
      </c>
      <c r="G33" s="97"/>
      <c r="H33" s="97"/>
      <c r="I33" s="164">
        <v>0</v>
      </c>
      <c r="J33" s="164"/>
      <c r="K33" s="165">
        <v>0</v>
      </c>
      <c r="L33" s="166">
        <v>1.45</v>
      </c>
      <c r="M33" s="118">
        <v>1.49</v>
      </c>
      <c r="N33" s="133">
        <v>3267</v>
      </c>
      <c r="O33" s="133">
        <v>3296</v>
      </c>
      <c r="P33" s="167">
        <v>1309.597</v>
      </c>
      <c r="Q33" s="133">
        <v>55</v>
      </c>
      <c r="R33" s="168">
        <v>0</v>
      </c>
      <c r="S33" s="169">
        <v>2227.3426199999999</v>
      </c>
      <c r="T33" s="135">
        <v>393</v>
      </c>
      <c r="U33" s="97">
        <v>6</v>
      </c>
      <c r="V33" s="139">
        <v>0.93</v>
      </c>
      <c r="W33" s="136">
        <v>68255.149999999994</v>
      </c>
      <c r="X33" s="123">
        <v>184869.66</v>
      </c>
      <c r="Y33" s="137">
        <v>360590.2</v>
      </c>
      <c r="Z33" s="123">
        <v>2197.02933559555</v>
      </c>
      <c r="AA33" s="123">
        <v>104.13445056626875</v>
      </c>
      <c r="AB33" s="123">
        <v>62.962993572084486</v>
      </c>
      <c r="AC33" s="123">
        <v>137.97392188003684</v>
      </c>
      <c r="AD33" s="123">
        <v>67.511065197428834</v>
      </c>
      <c r="AE33" s="123">
        <v>49.243954698500154</v>
      </c>
      <c r="AF33" s="122">
        <v>2618.855721509869</v>
      </c>
      <c r="AG33" s="123">
        <v>2362.4487998964105</v>
      </c>
      <c r="AH33" s="123">
        <v>100.83666565533983</v>
      </c>
      <c r="AI33" s="123">
        <v>81.208176577669903</v>
      </c>
      <c r="AJ33" s="123">
        <v>143.49541097085427</v>
      </c>
      <c r="AK33" s="123">
        <v>70.186984223300968</v>
      </c>
      <c r="AL33" s="123">
        <v>92.786165048543694</v>
      </c>
      <c r="AM33" s="122">
        <v>2850.962202372119</v>
      </c>
      <c r="AN33" s="138">
        <v>2279.7390677459803</v>
      </c>
      <c r="AO33" s="139">
        <v>102.48555811080429</v>
      </c>
      <c r="AP33" s="140">
        <v>72.085585074877201</v>
      </c>
      <c r="AQ33" s="140">
        <v>140.73466642544554</v>
      </c>
      <c r="AR33" s="139">
        <v>68.849024710364901</v>
      </c>
      <c r="AS33" s="141">
        <v>71.015059873521921</v>
      </c>
      <c r="AT33" s="122">
        <v>2734.9089619409942</v>
      </c>
      <c r="AU33" s="136">
        <v>3299.6631030996</v>
      </c>
      <c r="AV33" s="142">
        <v>0.96</v>
      </c>
      <c r="AW33" s="143">
        <v>0</v>
      </c>
      <c r="AX33" s="213">
        <v>0.89090267933689038</v>
      </c>
      <c r="AY33" s="214">
        <v>-1.7710793402479805E-2</v>
      </c>
      <c r="AZ33" s="214">
        <v>-7.3256926185722937E-2</v>
      </c>
      <c r="BA33" s="214">
        <v>4.1248613761327164E-2</v>
      </c>
      <c r="BB33" s="203">
        <v>1.1521236844298488</v>
      </c>
      <c r="BC33" s="139">
        <v>249</v>
      </c>
      <c r="BD33" s="204">
        <v>0.9</v>
      </c>
      <c r="BE33" s="139">
        <v>18854.510251737367</v>
      </c>
      <c r="BF33" s="139">
        <v>11000</v>
      </c>
      <c r="BG33" s="205">
        <v>0.65</v>
      </c>
      <c r="BH33" s="205">
        <v>0.65</v>
      </c>
      <c r="BI33" s="204">
        <v>0.2</v>
      </c>
      <c r="BJ33" s="142">
        <v>0.6</v>
      </c>
      <c r="BK33" s="205">
        <v>0.2</v>
      </c>
      <c r="BL33" s="170"/>
    </row>
    <row r="34" spans="1:64" x14ac:dyDescent="0.2">
      <c r="A34" s="91">
        <v>30</v>
      </c>
      <c r="B34" s="132" t="s">
        <v>45</v>
      </c>
      <c r="C34" s="155">
        <v>2376700</v>
      </c>
      <c r="D34" s="155">
        <v>1127400</v>
      </c>
      <c r="E34" s="155">
        <v>917800</v>
      </c>
      <c r="F34" s="155">
        <v>0</v>
      </c>
      <c r="G34" s="97"/>
      <c r="H34" s="97"/>
      <c r="I34" s="164">
        <v>0</v>
      </c>
      <c r="J34" s="164"/>
      <c r="K34" s="165">
        <v>0</v>
      </c>
      <c r="L34" s="166">
        <v>1.3</v>
      </c>
      <c r="M34" s="118">
        <v>1.3</v>
      </c>
      <c r="N34" s="133">
        <v>6901</v>
      </c>
      <c r="O34" s="133">
        <v>6929</v>
      </c>
      <c r="P34" s="167">
        <v>2722.0505999999996</v>
      </c>
      <c r="Q34" s="133">
        <v>170</v>
      </c>
      <c r="R34" s="168">
        <v>0</v>
      </c>
      <c r="S34" s="169">
        <v>5464.7285400000001</v>
      </c>
      <c r="T34" s="135">
        <v>851</v>
      </c>
      <c r="U34" s="97">
        <v>17</v>
      </c>
      <c r="V34" s="139">
        <v>0.93</v>
      </c>
      <c r="W34" s="136">
        <v>365974.75</v>
      </c>
      <c r="X34" s="123">
        <v>823803.26999999979</v>
      </c>
      <c r="Y34" s="137">
        <v>730282.05</v>
      </c>
      <c r="Z34" s="123">
        <v>2246.456228571551</v>
      </c>
      <c r="AA34" s="123">
        <v>152.29589914505144</v>
      </c>
      <c r="AB34" s="123">
        <v>156.56691783799451</v>
      </c>
      <c r="AC34" s="123">
        <v>131.57014963693393</v>
      </c>
      <c r="AD34" s="123">
        <v>56.040270975220977</v>
      </c>
      <c r="AE34" s="123">
        <v>83.571025938269813</v>
      </c>
      <c r="AF34" s="122">
        <v>2826.5004921050217</v>
      </c>
      <c r="AG34" s="123">
        <v>2286.4950646639481</v>
      </c>
      <c r="AH34" s="123">
        <v>155.43386491557223</v>
      </c>
      <c r="AI34" s="123">
        <v>151.34092942704575</v>
      </c>
      <c r="AJ34" s="123">
        <v>136.79335867318184</v>
      </c>
      <c r="AK34" s="123">
        <v>51.08369894645692</v>
      </c>
      <c r="AL34" s="123">
        <v>38.911906480011545</v>
      </c>
      <c r="AM34" s="122">
        <v>2820.0588231062166</v>
      </c>
      <c r="AN34" s="138">
        <v>2266.4756466177496</v>
      </c>
      <c r="AO34" s="139">
        <v>153.86488203031183</v>
      </c>
      <c r="AP34" s="140">
        <v>153.95392363252012</v>
      </c>
      <c r="AQ34" s="140">
        <v>134.18175415505789</v>
      </c>
      <c r="AR34" s="139">
        <v>53.561984960838949</v>
      </c>
      <c r="AS34" s="141">
        <v>61.241466209140683</v>
      </c>
      <c r="AT34" s="122">
        <v>2823.2796576056185</v>
      </c>
      <c r="AU34" s="136">
        <v>3299.6631030996</v>
      </c>
      <c r="AV34" s="142">
        <v>0.96</v>
      </c>
      <c r="AW34" s="143">
        <v>0</v>
      </c>
      <c r="AX34" s="213">
        <v>0.86408459081574107</v>
      </c>
      <c r="AY34" s="214">
        <v>-1.2296426931814203E-2</v>
      </c>
      <c r="AZ34" s="214">
        <v>-7.3256926185722937E-2</v>
      </c>
      <c r="BA34" s="214">
        <v>5.7984611462376427E-2</v>
      </c>
      <c r="BB34" s="203">
        <v>1.1521236844298488</v>
      </c>
      <c r="BC34" s="139">
        <v>249</v>
      </c>
      <c r="BD34" s="204">
        <v>0.9</v>
      </c>
      <c r="BE34" s="139">
        <v>18854.510251737367</v>
      </c>
      <c r="BF34" s="139">
        <v>11000</v>
      </c>
      <c r="BG34" s="205">
        <v>0.65</v>
      </c>
      <c r="BH34" s="205">
        <v>0.65</v>
      </c>
      <c r="BI34" s="204">
        <v>0.2</v>
      </c>
      <c r="BJ34" s="142">
        <v>0.6</v>
      </c>
      <c r="BK34" s="205">
        <v>0.2</v>
      </c>
      <c r="BL34" s="170"/>
    </row>
    <row r="35" spans="1:64" x14ac:dyDescent="0.2">
      <c r="A35" s="91">
        <v>31</v>
      </c>
      <c r="B35" s="132" t="s">
        <v>46</v>
      </c>
      <c r="C35" s="155">
        <v>0</v>
      </c>
      <c r="D35" s="155">
        <v>0</v>
      </c>
      <c r="E35" s="155">
        <v>0</v>
      </c>
      <c r="F35" s="155">
        <v>144300</v>
      </c>
      <c r="G35" s="97"/>
      <c r="H35" s="97"/>
      <c r="I35" s="164">
        <v>0</v>
      </c>
      <c r="J35" s="164"/>
      <c r="K35" s="165">
        <v>0</v>
      </c>
      <c r="L35" s="166">
        <v>1.18</v>
      </c>
      <c r="M35" s="118">
        <v>1.18</v>
      </c>
      <c r="N35" s="133">
        <v>12187</v>
      </c>
      <c r="O35" s="133">
        <v>12414</v>
      </c>
      <c r="P35" s="167">
        <v>1665.2239999999999</v>
      </c>
      <c r="Q35" s="133">
        <v>20</v>
      </c>
      <c r="R35" s="168">
        <v>0</v>
      </c>
      <c r="S35" s="169">
        <v>1595.01262</v>
      </c>
      <c r="T35" s="135">
        <v>1241</v>
      </c>
      <c r="U35" s="97">
        <v>34</v>
      </c>
      <c r="V35" s="139">
        <v>1.06</v>
      </c>
      <c r="W35" s="136">
        <v>188067.55</v>
      </c>
      <c r="X35" s="123">
        <v>2636332.33</v>
      </c>
      <c r="Y35" s="137">
        <v>1297146.0500000003</v>
      </c>
      <c r="Z35" s="123">
        <v>2514.686841316744</v>
      </c>
      <c r="AA35" s="123">
        <v>234.53083203413473</v>
      </c>
      <c r="AB35" s="123">
        <v>316.3395544432592</v>
      </c>
      <c r="AC35" s="123">
        <v>157.12616129123163</v>
      </c>
      <c r="AD35" s="123">
        <v>60.06514318536145</v>
      </c>
      <c r="AE35" s="123">
        <v>62.004611471239841</v>
      </c>
      <c r="AF35" s="122">
        <v>3344.7531437419711</v>
      </c>
      <c r="AG35" s="123">
        <v>2446.8871290929847</v>
      </c>
      <c r="AH35" s="123">
        <v>236.05296439503786</v>
      </c>
      <c r="AI35" s="123">
        <v>261.93764701143868</v>
      </c>
      <c r="AJ35" s="123">
        <v>160.56738401390629</v>
      </c>
      <c r="AK35" s="123">
        <v>86.622128242307085</v>
      </c>
      <c r="AL35" s="123">
        <v>59.194735782181411</v>
      </c>
      <c r="AM35" s="122">
        <v>3251.2619885378554</v>
      </c>
      <c r="AN35" s="138">
        <v>2480.7869852048643</v>
      </c>
      <c r="AO35" s="139">
        <v>235.2918982145863</v>
      </c>
      <c r="AP35" s="140">
        <v>289.13860072734894</v>
      </c>
      <c r="AQ35" s="140">
        <v>158.84677265256897</v>
      </c>
      <c r="AR35" s="139">
        <v>73.34363571383426</v>
      </c>
      <c r="AS35" s="141">
        <v>60.599673626710626</v>
      </c>
      <c r="AT35" s="122">
        <v>3298.0075661399137</v>
      </c>
      <c r="AU35" s="136">
        <v>3299.6631030996</v>
      </c>
      <c r="AV35" s="142">
        <v>0.96</v>
      </c>
      <c r="AW35" s="143">
        <v>0</v>
      </c>
      <c r="AX35" s="213">
        <v>-0.68451858752588601</v>
      </c>
      <c r="AY35" s="214">
        <v>-2.8112089215385751E-2</v>
      </c>
      <c r="AZ35" s="214">
        <v>-7.3256926185722937E-2</v>
      </c>
      <c r="BA35" s="214">
        <v>-3.9877169356474368E-2</v>
      </c>
      <c r="BB35" s="203">
        <v>1.1521236844298488</v>
      </c>
      <c r="BC35" s="139">
        <v>249</v>
      </c>
      <c r="BD35" s="204">
        <v>0.9</v>
      </c>
      <c r="BE35" s="139">
        <v>18854.510251737367</v>
      </c>
      <c r="BF35" s="139">
        <v>11000</v>
      </c>
      <c r="BG35" s="205">
        <v>0.65</v>
      </c>
      <c r="BH35" s="205">
        <v>0.65</v>
      </c>
      <c r="BI35" s="204">
        <v>0.2</v>
      </c>
      <c r="BJ35" s="142">
        <v>0.6</v>
      </c>
      <c r="BK35" s="205">
        <v>0.2</v>
      </c>
      <c r="BL35" s="170"/>
    </row>
    <row r="36" spans="1:64" x14ac:dyDescent="0.2">
      <c r="A36" s="91">
        <v>32</v>
      </c>
      <c r="B36" s="132" t="s">
        <v>47</v>
      </c>
      <c r="C36" s="155">
        <v>867700</v>
      </c>
      <c r="D36" s="155">
        <v>227800</v>
      </c>
      <c r="E36" s="155">
        <v>0</v>
      </c>
      <c r="F36" s="155">
        <v>0</v>
      </c>
      <c r="G36" s="97"/>
      <c r="H36" s="97"/>
      <c r="I36" s="164">
        <v>0</v>
      </c>
      <c r="J36" s="164"/>
      <c r="K36" s="165">
        <v>0</v>
      </c>
      <c r="L36" s="166">
        <v>1.45</v>
      </c>
      <c r="M36" s="118">
        <v>1.39</v>
      </c>
      <c r="N36" s="133">
        <v>4813</v>
      </c>
      <c r="O36" s="133">
        <v>4828</v>
      </c>
      <c r="P36" s="167">
        <v>1442.6450000000002</v>
      </c>
      <c r="Q36" s="133">
        <v>68</v>
      </c>
      <c r="R36" s="168">
        <v>0</v>
      </c>
      <c r="S36" s="169">
        <v>3032.6793299999999</v>
      </c>
      <c r="T36" s="135">
        <v>531</v>
      </c>
      <c r="U36" s="97">
        <v>8</v>
      </c>
      <c r="V36" s="139">
        <v>1.01</v>
      </c>
      <c r="W36" s="136">
        <v>14790</v>
      </c>
      <c r="X36" s="123">
        <v>902174.27000000025</v>
      </c>
      <c r="Y36" s="137">
        <v>520468.69999999995</v>
      </c>
      <c r="Z36" s="123">
        <v>2236.9802412642207</v>
      </c>
      <c r="AA36" s="123">
        <v>227.22419488884267</v>
      </c>
      <c r="AB36" s="123">
        <v>244.47505713692084</v>
      </c>
      <c r="AC36" s="123">
        <v>146.55395590389517</v>
      </c>
      <c r="AD36" s="123">
        <v>96.726646582173274</v>
      </c>
      <c r="AE36" s="123">
        <v>33.727280282568046</v>
      </c>
      <c r="AF36" s="122">
        <v>2985.6873760586209</v>
      </c>
      <c r="AG36" s="123">
        <v>2194.867340568816</v>
      </c>
      <c r="AH36" s="123">
        <v>251.68312966031485</v>
      </c>
      <c r="AI36" s="123">
        <v>211.778893951947</v>
      </c>
      <c r="AJ36" s="123">
        <v>152.39881941992138</v>
      </c>
      <c r="AK36" s="123">
        <v>70.825932062966032</v>
      </c>
      <c r="AL36" s="123">
        <v>107.56406379453189</v>
      </c>
      <c r="AM36" s="122">
        <v>2989.1181794584973</v>
      </c>
      <c r="AN36" s="138">
        <v>2215.9237909165186</v>
      </c>
      <c r="AO36" s="139">
        <v>239.45366227457876</v>
      </c>
      <c r="AP36" s="140">
        <v>228.12697554443392</v>
      </c>
      <c r="AQ36" s="140">
        <v>149.47638766190829</v>
      </c>
      <c r="AR36" s="139">
        <v>83.776289322569653</v>
      </c>
      <c r="AS36" s="141">
        <v>70.645672038549975</v>
      </c>
      <c r="AT36" s="122">
        <v>2987.4027777585588</v>
      </c>
      <c r="AU36" s="136">
        <v>3299.6631030996</v>
      </c>
      <c r="AV36" s="142">
        <v>0.96</v>
      </c>
      <c r="AW36" s="143">
        <v>0</v>
      </c>
      <c r="AX36" s="213">
        <v>0.3011639454193995</v>
      </c>
      <c r="AY36" s="214">
        <v>-1.9506265100665644E-2</v>
      </c>
      <c r="AZ36" s="214">
        <v>-7.3256926185722937E-2</v>
      </c>
      <c r="BA36" s="214">
        <v>3.4188671648702464E-2</v>
      </c>
      <c r="BB36" s="203">
        <v>1.1521236844298488</v>
      </c>
      <c r="BC36" s="139">
        <v>249</v>
      </c>
      <c r="BD36" s="204">
        <v>0.9</v>
      </c>
      <c r="BE36" s="139">
        <v>18854.510251737367</v>
      </c>
      <c r="BF36" s="139">
        <v>11000</v>
      </c>
      <c r="BG36" s="205">
        <v>0.65</v>
      </c>
      <c r="BH36" s="205">
        <v>0.65</v>
      </c>
      <c r="BI36" s="204">
        <v>0.2</v>
      </c>
      <c r="BJ36" s="142">
        <v>0.6</v>
      </c>
      <c r="BK36" s="205">
        <v>0.2</v>
      </c>
      <c r="BL36" s="170"/>
    </row>
    <row r="37" spans="1:64" x14ac:dyDescent="0.2">
      <c r="A37" s="91">
        <v>33</v>
      </c>
      <c r="B37" s="132" t="s">
        <v>48</v>
      </c>
      <c r="C37" s="155">
        <v>2956400</v>
      </c>
      <c r="D37" s="155">
        <v>389700</v>
      </c>
      <c r="E37" s="155">
        <v>795600</v>
      </c>
      <c r="F37" s="155">
        <v>14100</v>
      </c>
      <c r="G37" s="97"/>
      <c r="H37" s="97"/>
      <c r="I37" s="164">
        <v>0</v>
      </c>
      <c r="J37" s="164"/>
      <c r="K37" s="165">
        <v>0</v>
      </c>
      <c r="L37" s="166">
        <v>1.6</v>
      </c>
      <c r="M37" s="118">
        <v>1.6</v>
      </c>
      <c r="N37" s="133">
        <v>5219</v>
      </c>
      <c r="O37" s="133">
        <v>5231</v>
      </c>
      <c r="P37" s="167">
        <v>1563.2649999999994</v>
      </c>
      <c r="Q37" s="133">
        <v>31</v>
      </c>
      <c r="R37" s="168">
        <v>2878.3924152414802</v>
      </c>
      <c r="S37" s="169">
        <v>4175.1624900000006</v>
      </c>
      <c r="T37" s="135">
        <v>647</v>
      </c>
      <c r="U37" s="97">
        <v>13</v>
      </c>
      <c r="V37" s="139">
        <v>0.97</v>
      </c>
      <c r="W37" s="136">
        <v>76755.5</v>
      </c>
      <c r="X37" s="123">
        <v>611886.23000000021</v>
      </c>
      <c r="Y37" s="137">
        <v>791465.34999999986</v>
      </c>
      <c r="Z37" s="123">
        <v>2058.3215324885982</v>
      </c>
      <c r="AA37" s="123">
        <v>136.72530178195055</v>
      </c>
      <c r="AB37" s="123">
        <v>90.219745161908421</v>
      </c>
      <c r="AC37" s="123">
        <v>139.42605840869405</v>
      </c>
      <c r="AD37" s="123">
        <v>69.772561793447025</v>
      </c>
      <c r="AE37" s="123">
        <v>100.27512933512168</v>
      </c>
      <c r="AF37" s="122">
        <v>2594.7403289697204</v>
      </c>
      <c r="AG37" s="123">
        <v>2126.139228887791</v>
      </c>
      <c r="AH37" s="123">
        <v>120.66937488051998</v>
      </c>
      <c r="AI37" s="123">
        <v>103.54526859109158</v>
      </c>
      <c r="AJ37" s="123">
        <v>144.4081036701557</v>
      </c>
      <c r="AK37" s="123">
        <v>81.081437583636017</v>
      </c>
      <c r="AL37" s="123">
        <v>31.826390747467023</v>
      </c>
      <c r="AM37" s="122">
        <v>2607.6698043606616</v>
      </c>
      <c r="AN37" s="138">
        <v>2092.2303806881946</v>
      </c>
      <c r="AO37" s="139">
        <v>128.69733833123527</v>
      </c>
      <c r="AP37" s="140">
        <v>96.882506876500003</v>
      </c>
      <c r="AQ37" s="140">
        <v>141.91708103942489</v>
      </c>
      <c r="AR37" s="139">
        <v>75.426999688541514</v>
      </c>
      <c r="AS37" s="141">
        <v>66.050760041294353</v>
      </c>
      <c r="AT37" s="122">
        <v>2601.2050666651903</v>
      </c>
      <c r="AU37" s="136">
        <v>3299.6631030996</v>
      </c>
      <c r="AV37" s="142">
        <v>0.96</v>
      </c>
      <c r="AW37" s="143">
        <v>0</v>
      </c>
      <c r="AX37" s="213">
        <v>0.30139324080802027</v>
      </c>
      <c r="AY37" s="214">
        <v>-2.5134942815268464E-2</v>
      </c>
      <c r="AZ37" s="214">
        <v>4.7371282461304537E-2</v>
      </c>
      <c r="BA37" s="214">
        <v>5.9390257332673203E-2</v>
      </c>
      <c r="BB37" s="203">
        <v>1.1521236844298488</v>
      </c>
      <c r="BC37" s="139">
        <v>249</v>
      </c>
      <c r="BD37" s="204">
        <v>0.9</v>
      </c>
      <c r="BE37" s="139">
        <v>18854.510251737367</v>
      </c>
      <c r="BF37" s="139">
        <v>11000</v>
      </c>
      <c r="BG37" s="205">
        <v>0.65</v>
      </c>
      <c r="BH37" s="205">
        <v>0.65</v>
      </c>
      <c r="BI37" s="204">
        <v>0.2</v>
      </c>
      <c r="BJ37" s="142">
        <v>0.6</v>
      </c>
      <c r="BK37" s="205">
        <v>0.2</v>
      </c>
      <c r="BL37" s="170"/>
    </row>
    <row r="38" spans="1:64" x14ac:dyDescent="0.2">
      <c r="A38" s="91">
        <v>34</v>
      </c>
      <c r="B38" s="132" t="s">
        <v>49</v>
      </c>
      <c r="C38" s="155">
        <v>1507300</v>
      </c>
      <c r="D38" s="155">
        <v>0</v>
      </c>
      <c r="E38" s="155">
        <v>0</v>
      </c>
      <c r="F38" s="155">
        <v>0</v>
      </c>
      <c r="G38" s="97"/>
      <c r="H38" s="97"/>
      <c r="I38" s="164">
        <v>0</v>
      </c>
      <c r="J38" s="164"/>
      <c r="K38" s="165">
        <v>0</v>
      </c>
      <c r="L38" s="166">
        <v>1.42</v>
      </c>
      <c r="M38" s="118">
        <v>1.42</v>
      </c>
      <c r="N38" s="133">
        <v>6075</v>
      </c>
      <c r="O38" s="133">
        <v>6026</v>
      </c>
      <c r="P38" s="167">
        <v>954.23399999999981</v>
      </c>
      <c r="Q38" s="133">
        <v>0</v>
      </c>
      <c r="R38" s="168">
        <v>0</v>
      </c>
      <c r="S38" s="169">
        <v>946.38907000000006</v>
      </c>
      <c r="T38" s="135">
        <v>601</v>
      </c>
      <c r="U38" s="97">
        <v>14</v>
      </c>
      <c r="V38" s="139">
        <v>0.96</v>
      </c>
      <c r="W38" s="136">
        <v>99035.1</v>
      </c>
      <c r="X38" s="123">
        <v>682305.35</v>
      </c>
      <c r="Y38" s="137">
        <v>534462.64999999991</v>
      </c>
      <c r="Z38" s="123">
        <v>2334.7743559600126</v>
      </c>
      <c r="AA38" s="123">
        <v>108.46511111111111</v>
      </c>
      <c r="AB38" s="123">
        <v>158.82248559670782</v>
      </c>
      <c r="AC38" s="123">
        <v>140.06767613847447</v>
      </c>
      <c r="AD38" s="123">
        <v>44.439646090534978</v>
      </c>
      <c r="AE38" s="123">
        <v>85.791020576131686</v>
      </c>
      <c r="AF38" s="122">
        <v>2872.3602954729727</v>
      </c>
      <c r="AG38" s="123">
        <v>2390.8892315342696</v>
      </c>
      <c r="AH38" s="123">
        <v>110.50619814138732</v>
      </c>
      <c r="AI38" s="123">
        <v>225.38617656820446</v>
      </c>
      <c r="AJ38" s="123">
        <v>149.7161755715031</v>
      </c>
      <c r="AK38" s="123">
        <v>39.098564553601065</v>
      </c>
      <c r="AL38" s="123">
        <v>51.169872220378352</v>
      </c>
      <c r="AM38" s="122">
        <v>2966.7662185893441</v>
      </c>
      <c r="AN38" s="138">
        <v>2362.8317937471411</v>
      </c>
      <c r="AO38" s="139">
        <v>109.48565462624921</v>
      </c>
      <c r="AP38" s="140">
        <v>192.10433108245616</v>
      </c>
      <c r="AQ38" s="140">
        <v>144.89192585498878</v>
      </c>
      <c r="AR38" s="139">
        <v>41.769105322068022</v>
      </c>
      <c r="AS38" s="141">
        <v>68.480446398255026</v>
      </c>
      <c r="AT38" s="122">
        <v>2919.5632570311577</v>
      </c>
      <c r="AU38" s="136">
        <v>3299.6631030996</v>
      </c>
      <c r="AV38" s="142">
        <v>0.96</v>
      </c>
      <c r="AW38" s="143">
        <v>0</v>
      </c>
      <c r="AX38" s="213">
        <v>-0.53958782239068659</v>
      </c>
      <c r="AY38" s="214">
        <v>-2.9223629168351237E-2</v>
      </c>
      <c r="AZ38" s="214">
        <v>-7.3256926185722937E-2</v>
      </c>
      <c r="BA38" s="214">
        <v>-3.5642756410882152E-2</v>
      </c>
      <c r="BB38" s="203">
        <v>1.1521236844298488</v>
      </c>
      <c r="BC38" s="139">
        <v>249</v>
      </c>
      <c r="BD38" s="204">
        <v>0.9</v>
      </c>
      <c r="BE38" s="139">
        <v>18854.510251737367</v>
      </c>
      <c r="BF38" s="139">
        <v>11000</v>
      </c>
      <c r="BG38" s="205">
        <v>0.65</v>
      </c>
      <c r="BH38" s="205">
        <v>0.65</v>
      </c>
      <c r="BI38" s="204">
        <v>0.2</v>
      </c>
      <c r="BJ38" s="142">
        <v>0.6</v>
      </c>
      <c r="BK38" s="205">
        <v>0.2</v>
      </c>
      <c r="BL38" s="170"/>
    </row>
    <row r="39" spans="1:64" x14ac:dyDescent="0.2">
      <c r="A39" s="91">
        <v>35</v>
      </c>
      <c r="B39" s="132" t="s">
        <v>50</v>
      </c>
      <c r="C39" s="155">
        <v>2286000</v>
      </c>
      <c r="D39" s="155">
        <v>263400</v>
      </c>
      <c r="E39" s="155">
        <v>885300</v>
      </c>
      <c r="F39" s="155">
        <v>0</v>
      </c>
      <c r="G39" s="97"/>
      <c r="H39" s="97"/>
      <c r="I39" s="164">
        <v>0</v>
      </c>
      <c r="J39" s="164"/>
      <c r="K39" s="165">
        <v>0</v>
      </c>
      <c r="L39" s="166">
        <v>1.49</v>
      </c>
      <c r="M39" s="118">
        <v>1.49</v>
      </c>
      <c r="N39" s="133">
        <v>4552</v>
      </c>
      <c r="O39" s="133">
        <v>4649</v>
      </c>
      <c r="P39" s="167">
        <v>1424.0859999999996</v>
      </c>
      <c r="Q39" s="133">
        <v>15</v>
      </c>
      <c r="R39" s="168">
        <v>0</v>
      </c>
      <c r="S39" s="169">
        <v>3271.6751799999997</v>
      </c>
      <c r="T39" s="135">
        <v>595</v>
      </c>
      <c r="U39" s="97">
        <v>11</v>
      </c>
      <c r="V39" s="139">
        <v>0.91</v>
      </c>
      <c r="W39" s="136">
        <v>303677.35000000003</v>
      </c>
      <c r="X39" s="123">
        <v>483391.61</v>
      </c>
      <c r="Y39" s="137">
        <v>334300.35000000003</v>
      </c>
      <c r="Z39" s="123">
        <v>2090.8881443839409</v>
      </c>
      <c r="AA39" s="123">
        <v>64.969947275922678</v>
      </c>
      <c r="AB39" s="123">
        <v>139.80434973637961</v>
      </c>
      <c r="AC39" s="123">
        <v>157.21703963749474</v>
      </c>
      <c r="AD39" s="123">
        <v>91.160485500878735</v>
      </c>
      <c r="AE39" s="123">
        <v>114.93600615114235</v>
      </c>
      <c r="AF39" s="122">
        <v>2658.9759726857587</v>
      </c>
      <c r="AG39" s="123">
        <v>2150.3088615092474</v>
      </c>
      <c r="AH39" s="123">
        <v>73.820649602064961</v>
      </c>
      <c r="AI39" s="123">
        <v>122.963389976339</v>
      </c>
      <c r="AJ39" s="123">
        <v>162.41546440373648</v>
      </c>
      <c r="AK39" s="123">
        <v>74.298946009894593</v>
      </c>
      <c r="AL39" s="123">
        <v>88.196052914605289</v>
      </c>
      <c r="AM39" s="122">
        <v>2672.003364415888</v>
      </c>
      <c r="AN39" s="138">
        <v>2120.5985029465942</v>
      </c>
      <c r="AO39" s="139">
        <v>69.395298438993819</v>
      </c>
      <c r="AP39" s="140">
        <v>131.3838698563593</v>
      </c>
      <c r="AQ39" s="140">
        <v>159.81625202061559</v>
      </c>
      <c r="AR39" s="139">
        <v>82.729715755386664</v>
      </c>
      <c r="AS39" s="141">
        <v>101.56602953287381</v>
      </c>
      <c r="AT39" s="122">
        <v>2665.4896685508238</v>
      </c>
      <c r="AU39" s="136">
        <v>3299.6631030996</v>
      </c>
      <c r="AV39" s="142">
        <v>0.96</v>
      </c>
      <c r="AW39" s="143">
        <v>0</v>
      </c>
      <c r="AX39" s="213">
        <v>0.34613567405059265</v>
      </c>
      <c r="AY39" s="214">
        <v>-2.6997560609072865E-2</v>
      </c>
      <c r="AZ39" s="214">
        <v>-7.3256926185722937E-2</v>
      </c>
      <c r="BA39" s="214">
        <v>4.5394087700503315E-2</v>
      </c>
      <c r="BB39" s="203">
        <v>1.1521236844298488</v>
      </c>
      <c r="BC39" s="139">
        <v>249</v>
      </c>
      <c r="BD39" s="204">
        <v>0.9</v>
      </c>
      <c r="BE39" s="139">
        <v>18854.510251737367</v>
      </c>
      <c r="BF39" s="139">
        <v>11000</v>
      </c>
      <c r="BG39" s="205">
        <v>0.65</v>
      </c>
      <c r="BH39" s="205">
        <v>0.65</v>
      </c>
      <c r="BI39" s="204">
        <v>0.2</v>
      </c>
      <c r="BJ39" s="142">
        <v>0.6</v>
      </c>
      <c r="BK39" s="205">
        <v>0.2</v>
      </c>
      <c r="BL39" s="170"/>
    </row>
    <row r="40" spans="1:64" x14ac:dyDescent="0.2">
      <c r="A40" s="91">
        <v>36</v>
      </c>
      <c r="B40" s="132" t="s">
        <v>51</v>
      </c>
      <c r="C40" s="155">
        <v>0</v>
      </c>
      <c r="D40" s="155">
        <v>0</v>
      </c>
      <c r="E40" s="155">
        <v>0</v>
      </c>
      <c r="F40" s="155">
        <v>76900</v>
      </c>
      <c r="G40" s="97"/>
      <c r="H40" s="97"/>
      <c r="I40" s="164">
        <v>0</v>
      </c>
      <c r="J40" s="164"/>
      <c r="K40" s="165">
        <v>0</v>
      </c>
      <c r="L40" s="166">
        <v>1</v>
      </c>
      <c r="M40" s="118">
        <v>1</v>
      </c>
      <c r="N40" s="133">
        <v>5705</v>
      </c>
      <c r="O40" s="133">
        <v>5739</v>
      </c>
      <c r="P40" s="167">
        <v>1223.1086000000003</v>
      </c>
      <c r="Q40" s="133">
        <v>8</v>
      </c>
      <c r="R40" s="168">
        <v>0</v>
      </c>
      <c r="S40" s="169">
        <v>2539.5592299999998</v>
      </c>
      <c r="T40" s="135">
        <v>532</v>
      </c>
      <c r="U40" s="97">
        <v>6</v>
      </c>
      <c r="V40" s="139">
        <v>0.94</v>
      </c>
      <c r="W40" s="136">
        <v>70900</v>
      </c>
      <c r="X40" s="123">
        <v>487048.62999999995</v>
      </c>
      <c r="Y40" s="137">
        <v>1032085.65</v>
      </c>
      <c r="Z40" s="123">
        <v>2679.5918446387868</v>
      </c>
      <c r="AA40" s="123">
        <v>226.43083260297982</v>
      </c>
      <c r="AB40" s="123">
        <v>227.83836985100788</v>
      </c>
      <c r="AC40" s="123">
        <v>201.02893670911422</v>
      </c>
      <c r="AD40" s="123">
        <v>105.76070113935145</v>
      </c>
      <c r="AE40" s="123">
        <v>53.429623137598597</v>
      </c>
      <c r="AF40" s="122">
        <v>3494.0803080788392</v>
      </c>
      <c r="AG40" s="123">
        <v>2863.6333381488371</v>
      </c>
      <c r="AH40" s="123">
        <v>194.99837950862522</v>
      </c>
      <c r="AI40" s="123">
        <v>251.30081024568742</v>
      </c>
      <c r="AJ40" s="123">
        <v>206.17037162041606</v>
      </c>
      <c r="AK40" s="123">
        <v>91.536321658825571</v>
      </c>
      <c r="AL40" s="123">
        <v>125.89133995469595</v>
      </c>
      <c r="AM40" s="122">
        <v>3733.5305611370873</v>
      </c>
      <c r="AN40" s="138">
        <v>2771.6125913938122</v>
      </c>
      <c r="AO40" s="139">
        <v>210.71460605580251</v>
      </c>
      <c r="AP40" s="140">
        <v>239.56959004834766</v>
      </c>
      <c r="AQ40" s="140">
        <v>203.59965416476513</v>
      </c>
      <c r="AR40" s="139">
        <v>98.648511399088505</v>
      </c>
      <c r="AS40" s="141">
        <v>89.660481546147281</v>
      </c>
      <c r="AT40" s="122">
        <v>3613.8054346079634</v>
      </c>
      <c r="AU40" s="136">
        <v>3299.6631030996</v>
      </c>
      <c r="AV40" s="142">
        <v>0.96</v>
      </c>
      <c r="AW40" s="143">
        <v>-0.47602182661203751</v>
      </c>
      <c r="AX40" s="213">
        <v>-0.21174298441980305</v>
      </c>
      <c r="AY40" s="214">
        <v>-2.826188273335465E-2</v>
      </c>
      <c r="AZ40" s="214">
        <v>-7.3256926185722937E-2</v>
      </c>
      <c r="BA40" s="214">
        <v>6.6714810377546743E-3</v>
      </c>
      <c r="BB40" s="203">
        <v>1.1521236844298488</v>
      </c>
      <c r="BC40" s="139">
        <v>249</v>
      </c>
      <c r="BD40" s="204">
        <v>0.9</v>
      </c>
      <c r="BE40" s="139">
        <v>18854.510251737367</v>
      </c>
      <c r="BF40" s="139">
        <v>11000</v>
      </c>
      <c r="BG40" s="205">
        <v>0.65</v>
      </c>
      <c r="BH40" s="205">
        <v>0.65</v>
      </c>
      <c r="BI40" s="204">
        <v>0.2</v>
      </c>
      <c r="BJ40" s="142">
        <v>0.6</v>
      </c>
      <c r="BK40" s="205">
        <v>0.2</v>
      </c>
      <c r="BL40" s="170"/>
    </row>
    <row r="41" spans="1:64" x14ac:dyDescent="0.2">
      <c r="A41" s="91">
        <v>37</v>
      </c>
      <c r="B41" s="132" t="s">
        <v>52</v>
      </c>
      <c r="C41" s="155">
        <v>1218300</v>
      </c>
      <c r="D41" s="155">
        <v>2328400</v>
      </c>
      <c r="E41" s="155">
        <v>288300</v>
      </c>
      <c r="F41" s="155">
        <v>48000</v>
      </c>
      <c r="G41" s="97"/>
      <c r="H41" s="97"/>
      <c r="I41" s="164">
        <v>0</v>
      </c>
      <c r="J41" s="164"/>
      <c r="K41" s="165">
        <v>0</v>
      </c>
      <c r="L41" s="166">
        <v>1.57</v>
      </c>
      <c r="M41" s="118">
        <v>1.54</v>
      </c>
      <c r="N41" s="133">
        <v>1556</v>
      </c>
      <c r="O41" s="133">
        <v>1573</v>
      </c>
      <c r="P41" s="167">
        <v>1832.2354</v>
      </c>
      <c r="Q41" s="133">
        <v>1451</v>
      </c>
      <c r="R41" s="168">
        <v>10487.4021057346</v>
      </c>
      <c r="S41" s="169">
        <v>12846.140449999999</v>
      </c>
      <c r="T41" s="135">
        <v>201</v>
      </c>
      <c r="U41" s="97">
        <v>2</v>
      </c>
      <c r="V41" s="139">
        <v>0.89</v>
      </c>
      <c r="W41" s="136">
        <v>16013.35</v>
      </c>
      <c r="X41" s="123">
        <v>364801.24999999994</v>
      </c>
      <c r="Y41" s="137">
        <v>203172.1</v>
      </c>
      <c r="Z41" s="123">
        <v>1687.7013670203048</v>
      </c>
      <c r="AA41" s="123">
        <v>224.30305269922877</v>
      </c>
      <c r="AB41" s="123">
        <v>55.454113110539851</v>
      </c>
      <c r="AC41" s="123">
        <v>240.90303552529795</v>
      </c>
      <c r="AD41" s="123">
        <v>28.124678663239074</v>
      </c>
      <c r="AE41" s="123">
        <v>27.328663239074551</v>
      </c>
      <c r="AF41" s="122">
        <v>2263.8149102576849</v>
      </c>
      <c r="AG41" s="123">
        <v>1833.0068667762816</v>
      </c>
      <c r="AH41" s="123">
        <v>274.47059758423399</v>
      </c>
      <c r="AI41" s="123">
        <v>36.799427844882388</v>
      </c>
      <c r="AJ41" s="123">
        <v>244.02983489575706</v>
      </c>
      <c r="AK41" s="123">
        <v>70.952415766052127</v>
      </c>
      <c r="AL41" s="123">
        <v>46.395963127781314</v>
      </c>
      <c r="AM41" s="122">
        <v>2505.6551059949884</v>
      </c>
      <c r="AN41" s="138">
        <v>1760.3541168982933</v>
      </c>
      <c r="AO41" s="139">
        <v>249.38682514173138</v>
      </c>
      <c r="AP41" s="140">
        <v>46.126770477711119</v>
      </c>
      <c r="AQ41" s="140">
        <v>242.46643521052749</v>
      </c>
      <c r="AR41" s="139">
        <v>49.538547214645604</v>
      </c>
      <c r="AS41" s="141">
        <v>36.862313183427929</v>
      </c>
      <c r="AT41" s="122">
        <v>2384.7350081263367</v>
      </c>
      <c r="AU41" s="136">
        <v>3299.6631030996</v>
      </c>
      <c r="AV41" s="142">
        <v>0.96</v>
      </c>
      <c r="AW41" s="143">
        <v>0</v>
      </c>
      <c r="AX41" s="213">
        <v>5.4849309451634793</v>
      </c>
      <c r="AY41" s="214">
        <v>0.60719885246994343</v>
      </c>
      <c r="AZ41" s="214">
        <v>0.36625108623019231</v>
      </c>
      <c r="BA41" s="214">
        <v>1.1516422696508373</v>
      </c>
      <c r="BB41" s="203">
        <v>1.1521236844298488</v>
      </c>
      <c r="BC41" s="139">
        <v>249</v>
      </c>
      <c r="BD41" s="204">
        <v>0.9</v>
      </c>
      <c r="BE41" s="139">
        <v>18854.510251737367</v>
      </c>
      <c r="BF41" s="139">
        <v>11000</v>
      </c>
      <c r="BG41" s="205">
        <v>0.65</v>
      </c>
      <c r="BH41" s="205">
        <v>0.65</v>
      </c>
      <c r="BI41" s="204">
        <v>0.2</v>
      </c>
      <c r="BJ41" s="142">
        <v>0.6</v>
      </c>
      <c r="BK41" s="205">
        <v>0.2</v>
      </c>
      <c r="BL41" s="170"/>
    </row>
    <row r="42" spans="1:64" x14ac:dyDescent="0.2">
      <c r="A42" s="91">
        <v>38</v>
      </c>
      <c r="B42" s="132" t="s">
        <v>53</v>
      </c>
      <c r="C42" s="155">
        <v>4985700</v>
      </c>
      <c r="D42" s="155">
        <v>1246400</v>
      </c>
      <c r="E42" s="155">
        <v>1581700</v>
      </c>
      <c r="F42" s="155">
        <v>55400</v>
      </c>
      <c r="G42" s="97"/>
      <c r="H42" s="97"/>
      <c r="I42" s="164">
        <v>0</v>
      </c>
      <c r="J42" s="164"/>
      <c r="K42" s="165">
        <v>0</v>
      </c>
      <c r="L42" s="166">
        <v>1.33</v>
      </c>
      <c r="M42" s="118">
        <v>1.33</v>
      </c>
      <c r="N42" s="133">
        <v>8617</v>
      </c>
      <c r="O42" s="133">
        <v>8620</v>
      </c>
      <c r="P42" s="167">
        <v>3065.3019999999992</v>
      </c>
      <c r="Q42" s="133">
        <v>305</v>
      </c>
      <c r="R42" s="168">
        <v>0</v>
      </c>
      <c r="S42" s="169">
        <v>13910.560140000001</v>
      </c>
      <c r="T42" s="135">
        <v>1090</v>
      </c>
      <c r="U42" s="97">
        <v>20</v>
      </c>
      <c r="V42" s="139">
        <v>0.96</v>
      </c>
      <c r="W42" s="136">
        <v>36631</v>
      </c>
      <c r="X42" s="123">
        <v>725331.11999999988</v>
      </c>
      <c r="Y42" s="137">
        <v>1451983.7500000002</v>
      </c>
      <c r="Z42" s="123">
        <v>2054.0385764249713</v>
      </c>
      <c r="AA42" s="123">
        <v>45.759138911454102</v>
      </c>
      <c r="AB42" s="123">
        <v>152.81034582801439</v>
      </c>
      <c r="AC42" s="123">
        <v>162.02832078579084</v>
      </c>
      <c r="AD42" s="123">
        <v>59.362817685969596</v>
      </c>
      <c r="AE42" s="123">
        <v>53.722966229546245</v>
      </c>
      <c r="AF42" s="122">
        <v>2527.7221658657468</v>
      </c>
      <c r="AG42" s="123">
        <v>2066.9856345377516</v>
      </c>
      <c r="AH42" s="123">
        <v>42.546827146171694</v>
      </c>
      <c r="AI42" s="123">
        <v>221.2228712296984</v>
      </c>
      <c r="AJ42" s="123">
        <v>165.75066758044315</v>
      </c>
      <c r="AK42" s="123">
        <v>59.605858468677489</v>
      </c>
      <c r="AL42" s="123">
        <v>94.351368909512757</v>
      </c>
      <c r="AM42" s="122">
        <v>2650.4632278722547</v>
      </c>
      <c r="AN42" s="138">
        <v>2060.5121054813617</v>
      </c>
      <c r="AO42" s="139">
        <v>44.152983028812898</v>
      </c>
      <c r="AP42" s="140">
        <v>187.01660852885641</v>
      </c>
      <c r="AQ42" s="140">
        <v>163.88949418311699</v>
      </c>
      <c r="AR42" s="139">
        <v>59.484338077323542</v>
      </c>
      <c r="AS42" s="141">
        <v>74.037167569529501</v>
      </c>
      <c r="AT42" s="122">
        <v>2589.092696869001</v>
      </c>
      <c r="AU42" s="136">
        <v>3299.6631030996</v>
      </c>
      <c r="AV42" s="142">
        <v>0.96</v>
      </c>
      <c r="AW42" s="143">
        <v>0</v>
      </c>
      <c r="AX42" s="213">
        <v>0.6411364622906055</v>
      </c>
      <c r="AY42" s="214">
        <v>-4.8118520354357456E-3</v>
      </c>
      <c r="AZ42" s="214">
        <v>-7.3256926185722937E-2</v>
      </c>
      <c r="BA42" s="214">
        <v>0.18028837715655543</v>
      </c>
      <c r="BB42" s="203">
        <v>1.1521236844298488</v>
      </c>
      <c r="BC42" s="139">
        <v>249</v>
      </c>
      <c r="BD42" s="204">
        <v>0.9</v>
      </c>
      <c r="BE42" s="139">
        <v>18854.510251737367</v>
      </c>
      <c r="BF42" s="139">
        <v>11000</v>
      </c>
      <c r="BG42" s="205">
        <v>0.65</v>
      </c>
      <c r="BH42" s="205">
        <v>0.65</v>
      </c>
      <c r="BI42" s="204">
        <v>0.2</v>
      </c>
      <c r="BJ42" s="142">
        <v>0.6</v>
      </c>
      <c r="BK42" s="205">
        <v>0.2</v>
      </c>
      <c r="BL42" s="170"/>
    </row>
    <row r="43" spans="1:64" x14ac:dyDescent="0.2">
      <c r="A43" s="91">
        <v>39</v>
      </c>
      <c r="B43" s="132" t="s">
        <v>54</v>
      </c>
      <c r="C43" s="155">
        <v>2849500</v>
      </c>
      <c r="D43" s="155">
        <v>1122300</v>
      </c>
      <c r="E43" s="155">
        <v>70200</v>
      </c>
      <c r="F43" s="155">
        <v>0</v>
      </c>
      <c r="G43" s="97"/>
      <c r="H43" s="97"/>
      <c r="I43" s="164">
        <v>0</v>
      </c>
      <c r="J43" s="164"/>
      <c r="K43" s="165">
        <v>0</v>
      </c>
      <c r="L43" s="166">
        <v>1.52</v>
      </c>
      <c r="M43" s="118">
        <v>1.52</v>
      </c>
      <c r="N43" s="133">
        <v>4848</v>
      </c>
      <c r="O43" s="133">
        <v>4869</v>
      </c>
      <c r="P43" s="167">
        <v>2039.4508000000001</v>
      </c>
      <c r="Q43" s="133">
        <v>690</v>
      </c>
      <c r="R43" s="168">
        <v>0</v>
      </c>
      <c r="S43" s="169">
        <v>7515.4821499999998</v>
      </c>
      <c r="T43" s="135">
        <v>544</v>
      </c>
      <c r="U43" s="97">
        <v>10</v>
      </c>
      <c r="V43" s="139">
        <v>1.01</v>
      </c>
      <c r="W43" s="136">
        <v>28123.9</v>
      </c>
      <c r="X43" s="123">
        <v>874678.97</v>
      </c>
      <c r="Y43" s="137">
        <v>402017.75000000006</v>
      </c>
      <c r="Z43" s="123">
        <v>1871.7755972653601</v>
      </c>
      <c r="AA43" s="123">
        <v>57.061004537953792</v>
      </c>
      <c r="AB43" s="123">
        <v>198.0946060231023</v>
      </c>
      <c r="AC43" s="123">
        <v>173.8463651685114</v>
      </c>
      <c r="AD43" s="123">
        <v>106.7763201320132</v>
      </c>
      <c r="AE43" s="123">
        <v>97.699690594059419</v>
      </c>
      <c r="AF43" s="122">
        <v>2505.2535837210003</v>
      </c>
      <c r="AG43" s="123">
        <v>1866.6720862188088</v>
      </c>
      <c r="AH43" s="123">
        <v>74.394824399260628</v>
      </c>
      <c r="AI43" s="123">
        <v>239.65149928116654</v>
      </c>
      <c r="AJ43" s="123">
        <v>177.51728438570069</v>
      </c>
      <c r="AK43" s="123">
        <v>119.12661737523105</v>
      </c>
      <c r="AL43" s="123">
        <v>177.19357157527213</v>
      </c>
      <c r="AM43" s="122">
        <v>2654.55588323544</v>
      </c>
      <c r="AN43" s="138">
        <v>1869.2238417420845</v>
      </c>
      <c r="AO43" s="139">
        <v>65.72791446860721</v>
      </c>
      <c r="AP43" s="140">
        <v>218.87305265213442</v>
      </c>
      <c r="AQ43" s="140">
        <v>175.68182477710604</v>
      </c>
      <c r="AR43" s="139">
        <v>112.95146875362212</v>
      </c>
      <c r="AS43" s="141">
        <v>137.44663108466577</v>
      </c>
      <c r="AT43" s="122">
        <v>2579.9047334782199</v>
      </c>
      <c r="AU43" s="136">
        <v>3299.6631030996</v>
      </c>
      <c r="AV43" s="142">
        <v>0.96</v>
      </c>
      <c r="AW43" s="143">
        <v>0</v>
      </c>
      <c r="AX43" s="213">
        <v>1.0198105161255371</v>
      </c>
      <c r="AY43" s="214">
        <v>6.8548740040093467E-2</v>
      </c>
      <c r="AZ43" s="214">
        <v>-7.3256926185722937E-2</v>
      </c>
      <c r="BA43" s="214">
        <v>0.16987992075976613</v>
      </c>
      <c r="BB43" s="203">
        <v>1.1521236844298488</v>
      </c>
      <c r="BC43" s="139">
        <v>249</v>
      </c>
      <c r="BD43" s="204">
        <v>0.9</v>
      </c>
      <c r="BE43" s="139">
        <v>18854.510251737367</v>
      </c>
      <c r="BF43" s="139">
        <v>11000</v>
      </c>
      <c r="BG43" s="205">
        <v>0.65</v>
      </c>
      <c r="BH43" s="205">
        <v>0.65</v>
      </c>
      <c r="BI43" s="204">
        <v>0.2</v>
      </c>
      <c r="BJ43" s="142">
        <v>0.6</v>
      </c>
      <c r="BK43" s="205">
        <v>0.2</v>
      </c>
      <c r="BL43" s="170"/>
    </row>
    <row r="44" spans="1:64" x14ac:dyDescent="0.2">
      <c r="A44" s="91">
        <v>40</v>
      </c>
      <c r="B44" s="132" t="s">
        <v>55</v>
      </c>
      <c r="C44" s="155">
        <v>2153200</v>
      </c>
      <c r="D44" s="155">
        <v>28000</v>
      </c>
      <c r="E44" s="155">
        <v>161800</v>
      </c>
      <c r="F44" s="155">
        <v>0</v>
      </c>
      <c r="G44" s="97"/>
      <c r="H44" s="97"/>
      <c r="I44" s="164">
        <v>0</v>
      </c>
      <c r="J44" s="164"/>
      <c r="K44" s="165">
        <v>0</v>
      </c>
      <c r="L44" s="166">
        <v>1.45</v>
      </c>
      <c r="M44" s="118">
        <v>1.45</v>
      </c>
      <c r="N44" s="133">
        <v>5505</v>
      </c>
      <c r="O44" s="133">
        <v>5520</v>
      </c>
      <c r="P44" s="167">
        <v>1302.9689999999998</v>
      </c>
      <c r="Q44" s="133">
        <v>139</v>
      </c>
      <c r="R44" s="168">
        <v>2706.9064740334202</v>
      </c>
      <c r="S44" s="169">
        <v>4884.1079399999999</v>
      </c>
      <c r="T44" s="135">
        <v>631</v>
      </c>
      <c r="U44" s="97">
        <v>10</v>
      </c>
      <c r="V44" s="139">
        <v>0.93</v>
      </c>
      <c r="W44" s="136">
        <v>37487.449999999997</v>
      </c>
      <c r="X44" s="123">
        <v>576761.57999999996</v>
      </c>
      <c r="Y44" s="137">
        <v>500296.30000000005</v>
      </c>
      <c r="Z44" s="123">
        <v>2221.3752560938992</v>
      </c>
      <c r="AA44" s="123">
        <v>92.421607629427797</v>
      </c>
      <c r="AB44" s="123">
        <v>71.821435059037242</v>
      </c>
      <c r="AC44" s="123">
        <v>145.64930889688196</v>
      </c>
      <c r="AD44" s="123">
        <v>75.72698455949137</v>
      </c>
      <c r="AE44" s="123">
        <v>83.767556766575851</v>
      </c>
      <c r="AF44" s="122">
        <v>2690.7621490053139</v>
      </c>
      <c r="AG44" s="123">
        <v>2303.9203554032774</v>
      </c>
      <c r="AH44" s="123">
        <v>93.286585144927543</v>
      </c>
      <c r="AI44" s="123">
        <v>93.63353260869566</v>
      </c>
      <c r="AJ44" s="123">
        <v>154.3239876071643</v>
      </c>
      <c r="AK44" s="123">
        <v>100.83587862318842</v>
      </c>
      <c r="AL44" s="123">
        <v>116.30859601449275</v>
      </c>
      <c r="AM44" s="122">
        <v>2862.3089354017457</v>
      </c>
      <c r="AN44" s="138">
        <v>2262.6478057485883</v>
      </c>
      <c r="AO44" s="139">
        <v>92.854096387177663</v>
      </c>
      <c r="AP44" s="140">
        <v>82.727483833866444</v>
      </c>
      <c r="AQ44" s="140">
        <v>149.98664825202314</v>
      </c>
      <c r="AR44" s="139">
        <v>88.281431591339896</v>
      </c>
      <c r="AS44" s="141">
        <v>100.0380763905343</v>
      </c>
      <c r="AT44" s="122">
        <v>2776.5355422035295</v>
      </c>
      <c r="AU44" s="136">
        <v>3299.6631030996</v>
      </c>
      <c r="AV44" s="142">
        <v>0.96</v>
      </c>
      <c r="AW44" s="143">
        <v>0</v>
      </c>
      <c r="AX44" s="213">
        <v>-7.4528881909072392E-2</v>
      </c>
      <c r="AY44" s="214">
        <v>-1.1850320113280743E-2</v>
      </c>
      <c r="AZ44" s="214">
        <v>4.0184617506747844E-2</v>
      </c>
      <c r="BA44" s="214">
        <v>7.2233818238681954E-2</v>
      </c>
      <c r="BB44" s="203">
        <v>1.1521236844298488</v>
      </c>
      <c r="BC44" s="139">
        <v>249</v>
      </c>
      <c r="BD44" s="204">
        <v>0.9</v>
      </c>
      <c r="BE44" s="139">
        <v>18854.510251737367</v>
      </c>
      <c r="BF44" s="139">
        <v>11000</v>
      </c>
      <c r="BG44" s="205">
        <v>0.65</v>
      </c>
      <c r="BH44" s="205">
        <v>0.65</v>
      </c>
      <c r="BI44" s="204">
        <v>0.2</v>
      </c>
      <c r="BJ44" s="142">
        <v>0.6</v>
      </c>
      <c r="BK44" s="205">
        <v>0.2</v>
      </c>
      <c r="BL44" s="170"/>
    </row>
    <row r="45" spans="1:64" x14ac:dyDescent="0.2">
      <c r="A45" s="91">
        <v>41</v>
      </c>
      <c r="B45" s="132" t="s">
        <v>56</v>
      </c>
      <c r="C45" s="155">
        <v>876700</v>
      </c>
      <c r="D45" s="155">
        <v>494900</v>
      </c>
      <c r="E45" s="155">
        <v>0</v>
      </c>
      <c r="F45" s="155">
        <v>0</v>
      </c>
      <c r="G45" s="97"/>
      <c r="H45" s="97"/>
      <c r="I45" s="164">
        <v>0</v>
      </c>
      <c r="J45" s="164"/>
      <c r="K45" s="165">
        <v>0</v>
      </c>
      <c r="L45" s="166">
        <v>1.38</v>
      </c>
      <c r="M45" s="118">
        <v>1.32</v>
      </c>
      <c r="N45" s="133">
        <v>2834</v>
      </c>
      <c r="O45" s="133">
        <v>2846</v>
      </c>
      <c r="P45" s="167">
        <v>948.55500000000006</v>
      </c>
      <c r="Q45" s="133">
        <v>129</v>
      </c>
      <c r="R45" s="168">
        <v>3227.3241990991601</v>
      </c>
      <c r="S45" s="169">
        <v>7321.0383699999993</v>
      </c>
      <c r="T45" s="135">
        <v>293</v>
      </c>
      <c r="U45" s="97">
        <v>6</v>
      </c>
      <c r="V45" s="139">
        <v>0.98</v>
      </c>
      <c r="W45" s="136">
        <v>73612.350000000006</v>
      </c>
      <c r="X45" s="123">
        <v>165878.75</v>
      </c>
      <c r="Y45" s="137">
        <v>425391.55000000005</v>
      </c>
      <c r="Z45" s="123">
        <v>2215.8909757184015</v>
      </c>
      <c r="AA45" s="123">
        <v>91.848694424841227</v>
      </c>
      <c r="AB45" s="123">
        <v>131.06439661256175</v>
      </c>
      <c r="AC45" s="123">
        <v>223.39700321320382</v>
      </c>
      <c r="AD45" s="123">
        <v>103.22046577275934</v>
      </c>
      <c r="AE45" s="123">
        <v>103.01834862385321</v>
      </c>
      <c r="AF45" s="122">
        <v>2868.4398843656209</v>
      </c>
      <c r="AG45" s="123">
        <v>2202.927490829461</v>
      </c>
      <c r="AH45" s="123">
        <v>101.22291004919187</v>
      </c>
      <c r="AI45" s="123">
        <v>134.88706957132817</v>
      </c>
      <c r="AJ45" s="123">
        <v>231.36350884719937</v>
      </c>
      <c r="AK45" s="123">
        <v>106.9573787772312</v>
      </c>
      <c r="AL45" s="123">
        <v>70.883749121574141</v>
      </c>
      <c r="AM45" s="122">
        <v>2848.2421071959852</v>
      </c>
      <c r="AN45" s="138">
        <v>2209.409233273931</v>
      </c>
      <c r="AO45" s="139">
        <v>96.535802237016554</v>
      </c>
      <c r="AP45" s="140">
        <v>132.97573309194496</v>
      </c>
      <c r="AQ45" s="140">
        <v>227.38025603020159</v>
      </c>
      <c r="AR45" s="139">
        <v>105.08892227499527</v>
      </c>
      <c r="AS45" s="141">
        <v>86.95104887271367</v>
      </c>
      <c r="AT45" s="122">
        <v>2858.340995780803</v>
      </c>
      <c r="AU45" s="136">
        <v>3299.6631030996</v>
      </c>
      <c r="AV45" s="142">
        <v>0.96</v>
      </c>
      <c r="AW45" s="143">
        <v>0</v>
      </c>
      <c r="AX45" s="213">
        <v>0.507594559142719</v>
      </c>
      <c r="AY45" s="214">
        <v>2.0488014345765057E-3</v>
      </c>
      <c r="AZ45" s="214">
        <v>6.1994381036705876E-2</v>
      </c>
      <c r="BA45" s="214">
        <v>0.32239048807559167</v>
      </c>
      <c r="BB45" s="203">
        <v>1.1521236844298488</v>
      </c>
      <c r="BC45" s="139">
        <v>249</v>
      </c>
      <c r="BD45" s="204">
        <v>0.9</v>
      </c>
      <c r="BE45" s="139">
        <v>18854.510251737367</v>
      </c>
      <c r="BF45" s="139">
        <v>11000</v>
      </c>
      <c r="BG45" s="205">
        <v>0.65</v>
      </c>
      <c r="BH45" s="205">
        <v>0.65</v>
      </c>
      <c r="BI45" s="204">
        <v>0.2</v>
      </c>
      <c r="BJ45" s="142">
        <v>0.6</v>
      </c>
      <c r="BK45" s="205">
        <v>0.2</v>
      </c>
      <c r="BL45" s="170"/>
    </row>
    <row r="46" spans="1:64" x14ac:dyDescent="0.2">
      <c r="A46" s="91">
        <v>42</v>
      </c>
      <c r="B46" s="132" t="s">
        <v>57</v>
      </c>
      <c r="C46" s="155">
        <v>0</v>
      </c>
      <c r="D46" s="155">
        <v>802600</v>
      </c>
      <c r="E46" s="155">
        <v>0</v>
      </c>
      <c r="F46" s="155">
        <v>0</v>
      </c>
      <c r="G46" s="97"/>
      <c r="H46" s="97"/>
      <c r="I46" s="164">
        <v>0</v>
      </c>
      <c r="J46" s="164"/>
      <c r="K46" s="165">
        <v>0</v>
      </c>
      <c r="L46" s="166">
        <v>1.25</v>
      </c>
      <c r="M46" s="118">
        <v>1.25</v>
      </c>
      <c r="N46" s="133">
        <v>1777</v>
      </c>
      <c r="O46" s="133">
        <v>1773</v>
      </c>
      <c r="P46" s="167">
        <v>1536.537</v>
      </c>
      <c r="Q46" s="133">
        <v>1309</v>
      </c>
      <c r="R46" s="168">
        <v>0</v>
      </c>
      <c r="S46" s="169">
        <v>4761.82258</v>
      </c>
      <c r="T46" s="135">
        <v>166</v>
      </c>
      <c r="U46" s="97">
        <v>2</v>
      </c>
      <c r="V46" s="139">
        <v>0.86</v>
      </c>
      <c r="W46" s="136">
        <v>0</v>
      </c>
      <c r="X46" s="123">
        <v>125770.29999999997</v>
      </c>
      <c r="Y46" s="137">
        <v>206446.7</v>
      </c>
      <c r="Z46" s="123">
        <v>2929.041091445195</v>
      </c>
      <c r="AA46" s="123">
        <v>58.067529544175578</v>
      </c>
      <c r="AB46" s="123">
        <v>45.931710748452446</v>
      </c>
      <c r="AC46" s="123">
        <v>213.87632698776164</v>
      </c>
      <c r="AD46" s="123">
        <v>191.65754079909962</v>
      </c>
      <c r="AE46" s="123">
        <v>199.95427687113113</v>
      </c>
      <c r="AF46" s="122">
        <v>3638.5284763958157</v>
      </c>
      <c r="AG46" s="123">
        <v>2929.6836371435375</v>
      </c>
      <c r="AH46" s="123">
        <v>58.801720248166944</v>
      </c>
      <c r="AI46" s="123">
        <v>51.452763677382968</v>
      </c>
      <c r="AJ46" s="123">
        <v>225.95222718489009</v>
      </c>
      <c r="AK46" s="123">
        <v>155.60992667794699</v>
      </c>
      <c r="AL46" s="123">
        <v>168.27504230118444</v>
      </c>
      <c r="AM46" s="122">
        <v>3589.7753172331086</v>
      </c>
      <c r="AN46" s="138">
        <v>2929.3623642943662</v>
      </c>
      <c r="AO46" s="139">
        <v>58.434624896171258</v>
      </c>
      <c r="AP46" s="140">
        <v>48.692237212917703</v>
      </c>
      <c r="AQ46" s="140">
        <v>219.91427708632585</v>
      </c>
      <c r="AR46" s="139">
        <v>173.63373373852329</v>
      </c>
      <c r="AS46" s="141">
        <v>184.11465958615779</v>
      </c>
      <c r="AT46" s="122">
        <v>3614.1518968144624</v>
      </c>
      <c r="AU46" s="136">
        <v>3299.6631030996</v>
      </c>
      <c r="AV46" s="142">
        <v>0.96</v>
      </c>
      <c r="AW46" s="143">
        <v>-0.47654682294601791</v>
      </c>
      <c r="AX46" s="213">
        <v>3.7001006872097602</v>
      </c>
      <c r="AY46" s="214">
        <v>0.4801514972200478</v>
      </c>
      <c r="AZ46" s="214">
        <v>-7.3256926185722937E-2</v>
      </c>
      <c r="BA46" s="214">
        <v>0.33919228127603313</v>
      </c>
      <c r="BB46" s="203">
        <v>1.1521236844298488</v>
      </c>
      <c r="BC46" s="139">
        <v>249</v>
      </c>
      <c r="BD46" s="204">
        <v>0.9</v>
      </c>
      <c r="BE46" s="139">
        <v>18854.510251737367</v>
      </c>
      <c r="BF46" s="139">
        <v>11000</v>
      </c>
      <c r="BG46" s="205">
        <v>0.65</v>
      </c>
      <c r="BH46" s="205">
        <v>0.65</v>
      </c>
      <c r="BI46" s="204">
        <v>0.2</v>
      </c>
      <c r="BJ46" s="142">
        <v>0.6</v>
      </c>
      <c r="BK46" s="205">
        <v>0.2</v>
      </c>
      <c r="BL46" s="170"/>
    </row>
    <row r="47" spans="1:64" x14ac:dyDescent="0.2">
      <c r="A47" s="91">
        <v>43</v>
      </c>
      <c r="B47" s="132" t="s">
        <v>58</v>
      </c>
      <c r="C47" s="155">
        <v>0</v>
      </c>
      <c r="D47" s="155">
        <v>0</v>
      </c>
      <c r="E47" s="155">
        <v>97500</v>
      </c>
      <c r="F47" s="155">
        <v>47500</v>
      </c>
      <c r="G47" s="97"/>
      <c r="H47" s="97"/>
      <c r="I47" s="164">
        <v>0</v>
      </c>
      <c r="J47" s="164"/>
      <c r="K47" s="165">
        <v>0</v>
      </c>
      <c r="L47" s="166">
        <v>1.4</v>
      </c>
      <c r="M47" s="118">
        <v>1.4</v>
      </c>
      <c r="N47" s="133">
        <v>1592</v>
      </c>
      <c r="O47" s="133">
        <v>1595</v>
      </c>
      <c r="P47" s="167">
        <v>306.53399999999999</v>
      </c>
      <c r="Q47" s="133">
        <v>15</v>
      </c>
      <c r="R47" s="168">
        <v>0</v>
      </c>
      <c r="S47" s="169">
        <v>574.88239999999996</v>
      </c>
      <c r="T47" s="135">
        <v>189</v>
      </c>
      <c r="U47" s="97">
        <v>2</v>
      </c>
      <c r="V47" s="139">
        <v>0.9</v>
      </c>
      <c r="W47" s="136">
        <v>20747.5</v>
      </c>
      <c r="X47" s="123">
        <v>222858.60000000003</v>
      </c>
      <c r="Y47" s="137">
        <v>301255.55</v>
      </c>
      <c r="Z47" s="123">
        <v>2796.3797500127225</v>
      </c>
      <c r="AA47" s="123">
        <v>63.605904522613059</v>
      </c>
      <c r="AB47" s="123">
        <v>89.555967336683423</v>
      </c>
      <c r="AC47" s="123">
        <v>187.0643775891767</v>
      </c>
      <c r="AD47" s="123">
        <v>145.09868090452261</v>
      </c>
      <c r="AE47" s="123">
        <v>91.199560301507546</v>
      </c>
      <c r="AF47" s="122">
        <v>3372.9042406672256</v>
      </c>
      <c r="AG47" s="123">
        <v>2935.8365237503162</v>
      </c>
      <c r="AH47" s="123">
        <v>53.009059561128531</v>
      </c>
      <c r="AI47" s="123">
        <v>82.161536050156741</v>
      </c>
      <c r="AJ47" s="123">
        <v>191.8652928241732</v>
      </c>
      <c r="AK47" s="123">
        <v>142.68025078369905</v>
      </c>
      <c r="AL47" s="123">
        <v>42.775078369905955</v>
      </c>
      <c r="AM47" s="122">
        <v>3448.3277413393803</v>
      </c>
      <c r="AN47" s="138">
        <v>2866.1081368815194</v>
      </c>
      <c r="AO47" s="139">
        <v>58.307482041870799</v>
      </c>
      <c r="AP47" s="140">
        <v>85.858751693420089</v>
      </c>
      <c r="AQ47" s="140">
        <v>189.46483520667493</v>
      </c>
      <c r="AR47" s="139">
        <v>143.88946584411082</v>
      </c>
      <c r="AS47" s="141">
        <v>66.987319335706758</v>
      </c>
      <c r="AT47" s="122">
        <v>3410.615991003302</v>
      </c>
      <c r="AU47" s="136">
        <v>3299.6631030996</v>
      </c>
      <c r="AV47" s="142">
        <v>0.96</v>
      </c>
      <c r="AW47" s="143">
        <v>-0.16812760035937679</v>
      </c>
      <c r="AX47" s="213">
        <v>-0.33707546660857535</v>
      </c>
      <c r="AY47" s="214">
        <v>-2.2735232471119166E-2</v>
      </c>
      <c r="AZ47" s="214">
        <v>-7.3256926185722937E-2</v>
      </c>
      <c r="BA47" s="214">
        <v>-5.4956388879040365E-3</v>
      </c>
      <c r="BB47" s="203">
        <v>1.1521236844298488</v>
      </c>
      <c r="BC47" s="139">
        <v>249</v>
      </c>
      <c r="BD47" s="204">
        <v>0.9</v>
      </c>
      <c r="BE47" s="139">
        <v>18854.510251737367</v>
      </c>
      <c r="BF47" s="139">
        <v>11000</v>
      </c>
      <c r="BG47" s="205">
        <v>0.65</v>
      </c>
      <c r="BH47" s="205">
        <v>0.65</v>
      </c>
      <c r="BI47" s="204">
        <v>0.2</v>
      </c>
      <c r="BJ47" s="142">
        <v>0.6</v>
      </c>
      <c r="BK47" s="205">
        <v>0.2</v>
      </c>
      <c r="BL47" s="170"/>
    </row>
    <row r="48" spans="1:64" x14ac:dyDescent="0.2">
      <c r="A48" s="91">
        <v>44</v>
      </c>
      <c r="B48" s="132" t="s">
        <v>59</v>
      </c>
      <c r="C48" s="155">
        <v>2084300</v>
      </c>
      <c r="D48" s="155">
        <v>172600</v>
      </c>
      <c r="E48" s="155">
        <v>258300</v>
      </c>
      <c r="F48" s="155">
        <v>0</v>
      </c>
      <c r="G48" s="97"/>
      <c r="H48" s="97"/>
      <c r="I48" s="164">
        <v>0</v>
      </c>
      <c r="J48" s="164"/>
      <c r="K48" s="165">
        <v>0</v>
      </c>
      <c r="L48" s="166">
        <v>1.45</v>
      </c>
      <c r="M48" s="118">
        <v>1.45</v>
      </c>
      <c r="N48" s="133">
        <v>3715</v>
      </c>
      <c r="O48" s="133">
        <v>3762</v>
      </c>
      <c r="P48" s="167">
        <v>1084.6659999999999</v>
      </c>
      <c r="Q48" s="133">
        <v>9</v>
      </c>
      <c r="R48" s="168">
        <v>0</v>
      </c>
      <c r="S48" s="169">
        <v>3990.4292799999998</v>
      </c>
      <c r="T48" s="135">
        <v>441</v>
      </c>
      <c r="U48" s="97">
        <v>13</v>
      </c>
      <c r="V48" s="139">
        <v>0.92</v>
      </c>
      <c r="W48" s="136">
        <v>27506.9</v>
      </c>
      <c r="X48" s="123">
        <v>387431.9</v>
      </c>
      <c r="Y48" s="137">
        <v>455222.5500000001</v>
      </c>
      <c r="Z48" s="123">
        <v>1991.2843363951747</v>
      </c>
      <c r="AA48" s="123">
        <v>73.015921938088837</v>
      </c>
      <c r="AB48" s="123">
        <v>186.7049798115747</v>
      </c>
      <c r="AC48" s="123">
        <v>141.63492450196154</v>
      </c>
      <c r="AD48" s="123">
        <v>84.208358008075365</v>
      </c>
      <c r="AE48" s="123">
        <v>85.787900403768504</v>
      </c>
      <c r="AF48" s="122">
        <v>2562.6364210586435</v>
      </c>
      <c r="AG48" s="123">
        <v>2037.3345517364523</v>
      </c>
      <c r="AH48" s="123">
        <v>67.610951621477938</v>
      </c>
      <c r="AI48" s="123">
        <v>166.64735513024985</v>
      </c>
      <c r="AJ48" s="123">
        <v>143.66013366429507</v>
      </c>
      <c r="AK48" s="123">
        <v>111.31251993620415</v>
      </c>
      <c r="AL48" s="123">
        <v>124.04974747474748</v>
      </c>
      <c r="AM48" s="122">
        <v>2650.6152595634271</v>
      </c>
      <c r="AN48" s="138">
        <v>2014.3094440658135</v>
      </c>
      <c r="AO48" s="139">
        <v>70.313436779783387</v>
      </c>
      <c r="AP48" s="140">
        <v>176.67616747091228</v>
      </c>
      <c r="AQ48" s="140">
        <v>142.64752908312829</v>
      </c>
      <c r="AR48" s="139">
        <v>97.760438972139752</v>
      </c>
      <c r="AS48" s="141">
        <v>104.91882393925799</v>
      </c>
      <c r="AT48" s="122">
        <v>2606.6258403110351</v>
      </c>
      <c r="AU48" s="136">
        <v>3299.6631030996</v>
      </c>
      <c r="AV48" s="142">
        <v>0.96</v>
      </c>
      <c r="AW48" s="143">
        <v>0</v>
      </c>
      <c r="AX48" s="213">
        <v>0.23839357958591925</v>
      </c>
      <c r="AY48" s="214">
        <v>-2.7573072113792202E-2</v>
      </c>
      <c r="AZ48" s="214">
        <v>-7.3256926185722937E-2</v>
      </c>
      <c r="BA48" s="214">
        <v>9.8310631136739032E-2</v>
      </c>
      <c r="BB48" s="203">
        <v>1.1521236844298488</v>
      </c>
      <c r="BC48" s="139">
        <v>249</v>
      </c>
      <c r="BD48" s="204">
        <v>0.9</v>
      </c>
      <c r="BE48" s="139">
        <v>18854.510251737367</v>
      </c>
      <c r="BF48" s="139">
        <v>11000</v>
      </c>
      <c r="BG48" s="205">
        <v>0.65</v>
      </c>
      <c r="BH48" s="205">
        <v>0.65</v>
      </c>
      <c r="BI48" s="204">
        <v>0.2</v>
      </c>
      <c r="BJ48" s="142">
        <v>0.6</v>
      </c>
      <c r="BK48" s="205">
        <v>0.2</v>
      </c>
      <c r="BL48" s="170"/>
    </row>
    <row r="49" spans="1:64" x14ac:dyDescent="0.2">
      <c r="A49" s="91">
        <v>45</v>
      </c>
      <c r="B49" s="132" t="s">
        <v>60</v>
      </c>
      <c r="C49" s="155">
        <v>1594400</v>
      </c>
      <c r="D49" s="155">
        <v>25900</v>
      </c>
      <c r="E49" s="155">
        <v>1238800</v>
      </c>
      <c r="F49" s="155">
        <v>0</v>
      </c>
      <c r="G49" s="97"/>
      <c r="H49" s="97"/>
      <c r="I49" s="164">
        <v>0</v>
      </c>
      <c r="J49" s="164"/>
      <c r="K49" s="165">
        <v>0</v>
      </c>
      <c r="L49" s="166">
        <v>1.45</v>
      </c>
      <c r="M49" s="118">
        <v>1.45</v>
      </c>
      <c r="N49" s="133">
        <v>2879</v>
      </c>
      <c r="O49" s="133">
        <v>2915</v>
      </c>
      <c r="P49" s="167">
        <v>784.33899999999994</v>
      </c>
      <c r="Q49" s="133">
        <v>0</v>
      </c>
      <c r="R49" s="168">
        <v>0</v>
      </c>
      <c r="S49" s="169">
        <v>1649.5494099999999</v>
      </c>
      <c r="T49" s="135">
        <v>427</v>
      </c>
      <c r="U49" s="97">
        <v>12</v>
      </c>
      <c r="V49" s="139">
        <v>0.91</v>
      </c>
      <c r="W49" s="136">
        <v>10191.85</v>
      </c>
      <c r="X49" s="123">
        <v>225429.73999999993</v>
      </c>
      <c r="Y49" s="137">
        <v>285703.69999999995</v>
      </c>
      <c r="Z49" s="123">
        <v>2003.726261038393</v>
      </c>
      <c r="AA49" s="123">
        <v>52.084838485585273</v>
      </c>
      <c r="AB49" s="123">
        <v>164.42464397360195</v>
      </c>
      <c r="AC49" s="123">
        <v>137.85362979187408</v>
      </c>
      <c r="AD49" s="123">
        <v>114.43957971517888</v>
      </c>
      <c r="AE49" s="123">
        <v>134.21729767280306</v>
      </c>
      <c r="AF49" s="122">
        <v>2606.7462506774359</v>
      </c>
      <c r="AG49" s="123">
        <v>2069.3181195112634</v>
      </c>
      <c r="AH49" s="123">
        <v>42.470480274442529</v>
      </c>
      <c r="AI49" s="123">
        <v>197.30320754716979</v>
      </c>
      <c r="AJ49" s="123">
        <v>146.5745808624722</v>
      </c>
      <c r="AK49" s="123">
        <v>53.55722126929674</v>
      </c>
      <c r="AL49" s="123">
        <v>111.76763293310464</v>
      </c>
      <c r="AM49" s="122">
        <v>2620.9912423977498</v>
      </c>
      <c r="AN49" s="138">
        <v>2036.5221902748281</v>
      </c>
      <c r="AO49" s="139">
        <v>47.277659380013901</v>
      </c>
      <c r="AP49" s="140">
        <v>180.86392576038588</v>
      </c>
      <c r="AQ49" s="140">
        <v>142.21410532717314</v>
      </c>
      <c r="AR49" s="139">
        <v>83.998400492237806</v>
      </c>
      <c r="AS49" s="141">
        <v>122.99246530295385</v>
      </c>
      <c r="AT49" s="122">
        <v>2613.8687465375924</v>
      </c>
      <c r="AU49" s="136">
        <v>3299.6631030996</v>
      </c>
      <c r="AV49" s="142">
        <v>0.96</v>
      </c>
      <c r="AW49" s="143">
        <v>0</v>
      </c>
      <c r="AX49" s="213">
        <v>0.12315495749114355</v>
      </c>
      <c r="AY49" s="214">
        <v>-2.9223629168351237E-2</v>
      </c>
      <c r="AZ49" s="214">
        <v>-7.3256926185722937E-2</v>
      </c>
      <c r="BA49" s="214">
        <v>2.4959571999644912E-2</v>
      </c>
      <c r="BB49" s="203">
        <v>1.1521236844298488</v>
      </c>
      <c r="BC49" s="139">
        <v>249</v>
      </c>
      <c r="BD49" s="204">
        <v>0.9</v>
      </c>
      <c r="BE49" s="139">
        <v>18854.510251737367</v>
      </c>
      <c r="BF49" s="139">
        <v>11000</v>
      </c>
      <c r="BG49" s="205">
        <v>0.65</v>
      </c>
      <c r="BH49" s="205">
        <v>0.65</v>
      </c>
      <c r="BI49" s="204">
        <v>0.2</v>
      </c>
      <c r="BJ49" s="142">
        <v>0.6</v>
      </c>
      <c r="BK49" s="205">
        <v>0.2</v>
      </c>
      <c r="BL49" s="170"/>
    </row>
    <row r="50" spans="1:64" x14ac:dyDescent="0.2">
      <c r="A50" s="91">
        <v>46</v>
      </c>
      <c r="B50" s="132" t="s">
        <v>61</v>
      </c>
      <c r="C50" s="155">
        <v>2787800</v>
      </c>
      <c r="D50" s="155">
        <v>0</v>
      </c>
      <c r="E50" s="155">
        <v>905200</v>
      </c>
      <c r="F50" s="155">
        <v>0</v>
      </c>
      <c r="G50" s="97"/>
      <c r="H50" s="97"/>
      <c r="I50" s="164">
        <v>0</v>
      </c>
      <c r="J50" s="164"/>
      <c r="K50" s="165">
        <v>0</v>
      </c>
      <c r="L50" s="166">
        <v>1.24</v>
      </c>
      <c r="M50" s="118">
        <v>1.2</v>
      </c>
      <c r="N50" s="133">
        <v>4683</v>
      </c>
      <c r="O50" s="133">
        <v>4788</v>
      </c>
      <c r="P50" s="167">
        <v>962.88200000000006</v>
      </c>
      <c r="Q50" s="133">
        <v>25</v>
      </c>
      <c r="R50" s="168">
        <v>0</v>
      </c>
      <c r="S50" s="169">
        <v>1864.1369000000002</v>
      </c>
      <c r="T50" s="135">
        <v>605</v>
      </c>
      <c r="U50" s="97">
        <v>20</v>
      </c>
      <c r="V50" s="139">
        <v>0.94</v>
      </c>
      <c r="W50" s="136">
        <v>819.5</v>
      </c>
      <c r="X50" s="123">
        <v>545509.55999999994</v>
      </c>
      <c r="Y50" s="137">
        <v>477637.89999999997</v>
      </c>
      <c r="Z50" s="123">
        <v>2136.4512242024539</v>
      </c>
      <c r="AA50" s="123">
        <v>61.225592568866112</v>
      </c>
      <c r="AB50" s="123">
        <v>112.2981742472774</v>
      </c>
      <c r="AC50" s="123">
        <v>123.81923156828778</v>
      </c>
      <c r="AD50" s="123">
        <v>90.21168054665813</v>
      </c>
      <c r="AE50" s="123">
        <v>82.63494554772582</v>
      </c>
      <c r="AF50" s="122">
        <v>2606.6408486812688</v>
      </c>
      <c r="AG50" s="123">
        <v>2150.9866906349062</v>
      </c>
      <c r="AH50" s="123">
        <v>54.706370091896424</v>
      </c>
      <c r="AI50" s="123">
        <v>104.94130116959064</v>
      </c>
      <c r="AJ50" s="123">
        <v>126.4179114679873</v>
      </c>
      <c r="AK50" s="123">
        <v>56.343410609857976</v>
      </c>
      <c r="AL50" s="123">
        <v>44.708124477861318</v>
      </c>
      <c r="AM50" s="122">
        <v>2538.1038084521001</v>
      </c>
      <c r="AN50" s="138">
        <v>2143.71895741868</v>
      </c>
      <c r="AO50" s="139">
        <v>57.965981330381268</v>
      </c>
      <c r="AP50" s="140">
        <v>108.61973770843403</v>
      </c>
      <c r="AQ50" s="140">
        <v>125.11857151813754</v>
      </c>
      <c r="AR50" s="139">
        <v>73.277545578258056</v>
      </c>
      <c r="AS50" s="141">
        <v>63.671535012793569</v>
      </c>
      <c r="AT50" s="122">
        <v>2572.3723285666842</v>
      </c>
      <c r="AU50" s="136">
        <v>3299.6631030996</v>
      </c>
      <c r="AV50" s="142">
        <v>0.96</v>
      </c>
      <c r="AW50" s="143">
        <v>0</v>
      </c>
      <c r="AX50" s="213">
        <v>-0.28368806464336782</v>
      </c>
      <c r="AY50" s="214">
        <v>-2.5621222898480324E-2</v>
      </c>
      <c r="AZ50" s="214">
        <v>-7.3256926185722937E-2</v>
      </c>
      <c r="BA50" s="214">
        <v>-1.2106216556744211E-3</v>
      </c>
      <c r="BB50" s="203">
        <v>1.1521236844298488</v>
      </c>
      <c r="BC50" s="139">
        <v>249</v>
      </c>
      <c r="BD50" s="204">
        <v>0.9</v>
      </c>
      <c r="BE50" s="139">
        <v>18854.510251737367</v>
      </c>
      <c r="BF50" s="139">
        <v>11000</v>
      </c>
      <c r="BG50" s="205">
        <v>0.65</v>
      </c>
      <c r="BH50" s="205">
        <v>0.65</v>
      </c>
      <c r="BI50" s="204">
        <v>0.2</v>
      </c>
      <c r="BJ50" s="142">
        <v>0.6</v>
      </c>
      <c r="BK50" s="205">
        <v>0.2</v>
      </c>
      <c r="BL50" s="170"/>
    </row>
    <row r="51" spans="1:64" x14ac:dyDescent="0.2">
      <c r="A51" s="91">
        <v>48</v>
      </c>
      <c r="B51" s="132" t="s">
        <v>62</v>
      </c>
      <c r="C51" s="155">
        <v>0</v>
      </c>
      <c r="D51" s="155">
        <v>220600</v>
      </c>
      <c r="E51" s="155">
        <v>259000</v>
      </c>
      <c r="F51" s="155">
        <v>0</v>
      </c>
      <c r="G51" s="97"/>
      <c r="H51" s="97"/>
      <c r="I51" s="164">
        <v>0</v>
      </c>
      <c r="J51" s="164"/>
      <c r="K51" s="165">
        <v>0</v>
      </c>
      <c r="L51" s="166">
        <v>1.23</v>
      </c>
      <c r="M51" s="118">
        <v>1.23</v>
      </c>
      <c r="N51" s="133">
        <v>4973</v>
      </c>
      <c r="O51" s="133">
        <v>4969</v>
      </c>
      <c r="P51" s="167">
        <v>1366.0288000000003</v>
      </c>
      <c r="Q51" s="133">
        <v>251</v>
      </c>
      <c r="R51" s="168">
        <v>2303.0424571251601</v>
      </c>
      <c r="S51" s="169">
        <v>3358.5925299999999</v>
      </c>
      <c r="T51" s="135">
        <v>580</v>
      </c>
      <c r="U51" s="97">
        <v>7</v>
      </c>
      <c r="V51" s="139">
        <v>0.9</v>
      </c>
      <c r="W51" s="136">
        <v>17395.75</v>
      </c>
      <c r="X51" s="123">
        <v>477646.99999999994</v>
      </c>
      <c r="Y51" s="137">
        <v>589461.70000000007</v>
      </c>
      <c r="Z51" s="123">
        <v>2451.105173079216</v>
      </c>
      <c r="AA51" s="123">
        <v>48.836577518600443</v>
      </c>
      <c r="AB51" s="123">
        <v>53.687562839332394</v>
      </c>
      <c r="AC51" s="123">
        <v>170.24605169309282</v>
      </c>
      <c r="AD51" s="123">
        <v>87.516680072390912</v>
      </c>
      <c r="AE51" s="123">
        <v>171.63249547556808</v>
      </c>
      <c r="AF51" s="122">
        <v>2983.0245406782005</v>
      </c>
      <c r="AG51" s="123">
        <v>2672.7348373471377</v>
      </c>
      <c r="AH51" s="123">
        <v>62.814499899376145</v>
      </c>
      <c r="AI51" s="123">
        <v>79.177430066411759</v>
      </c>
      <c r="AJ51" s="123">
        <v>178.1657824506936</v>
      </c>
      <c r="AK51" s="123">
        <v>97.323364862145297</v>
      </c>
      <c r="AL51" s="123">
        <v>287.97794324813844</v>
      </c>
      <c r="AM51" s="122">
        <v>3378.1938578739037</v>
      </c>
      <c r="AN51" s="138">
        <v>2561.9200052131769</v>
      </c>
      <c r="AO51" s="139">
        <v>55.82553870898829</v>
      </c>
      <c r="AP51" s="140">
        <v>66.432496452872073</v>
      </c>
      <c r="AQ51" s="140">
        <v>174.20591707189323</v>
      </c>
      <c r="AR51" s="139">
        <v>92.420022467268097</v>
      </c>
      <c r="AS51" s="141">
        <v>229.80521936185326</v>
      </c>
      <c r="AT51" s="122">
        <v>3180.6091992760516</v>
      </c>
      <c r="AU51" s="136">
        <v>3299.6631030996</v>
      </c>
      <c r="AV51" s="142">
        <v>0.96</v>
      </c>
      <c r="AW51" s="143">
        <v>0</v>
      </c>
      <c r="AX51" s="213">
        <v>0.15811397622523965</v>
      </c>
      <c r="AY51" s="214">
        <v>5.6270742025936148E-3</v>
      </c>
      <c r="AZ51" s="214">
        <v>2.3259408616302261E-2</v>
      </c>
      <c r="BA51" s="214">
        <v>4.126902789082746E-2</v>
      </c>
      <c r="BB51" s="203">
        <v>1.1521236844298488</v>
      </c>
      <c r="BC51" s="139">
        <v>249</v>
      </c>
      <c r="BD51" s="204">
        <v>0.9</v>
      </c>
      <c r="BE51" s="139">
        <v>18854.510251737367</v>
      </c>
      <c r="BF51" s="139">
        <v>11000</v>
      </c>
      <c r="BG51" s="205">
        <v>0.65</v>
      </c>
      <c r="BH51" s="205">
        <v>0.65</v>
      </c>
      <c r="BI51" s="204">
        <v>0.2</v>
      </c>
      <c r="BJ51" s="142">
        <v>0.6</v>
      </c>
      <c r="BK51" s="205">
        <v>0.2</v>
      </c>
      <c r="BL51" s="170"/>
    </row>
    <row r="52" spans="1:64" x14ac:dyDescent="0.2">
      <c r="A52" s="91">
        <v>50</v>
      </c>
      <c r="B52" s="132" t="s">
        <v>63</v>
      </c>
      <c r="C52" s="155">
        <v>713400</v>
      </c>
      <c r="D52" s="155">
        <v>0</v>
      </c>
      <c r="E52" s="155">
        <v>1458900</v>
      </c>
      <c r="F52" s="155">
        <v>47200</v>
      </c>
      <c r="G52" s="97"/>
      <c r="H52" s="97"/>
      <c r="I52" s="164">
        <v>0</v>
      </c>
      <c r="J52" s="164"/>
      <c r="K52" s="165">
        <v>0</v>
      </c>
      <c r="L52" s="166">
        <v>1.52</v>
      </c>
      <c r="M52" s="118">
        <v>1.48</v>
      </c>
      <c r="N52" s="133">
        <v>6207</v>
      </c>
      <c r="O52" s="133">
        <v>6295</v>
      </c>
      <c r="P52" s="167">
        <v>880.34900000000016</v>
      </c>
      <c r="Q52" s="133">
        <v>0</v>
      </c>
      <c r="R52" s="168">
        <v>0</v>
      </c>
      <c r="S52" s="169">
        <v>753.53890999999999</v>
      </c>
      <c r="T52" s="135">
        <v>805</v>
      </c>
      <c r="U52" s="97">
        <v>29</v>
      </c>
      <c r="V52" s="139">
        <v>1.03</v>
      </c>
      <c r="W52" s="136">
        <v>200773.9</v>
      </c>
      <c r="X52" s="123">
        <v>1173124.3999999999</v>
      </c>
      <c r="Y52" s="137">
        <v>832990.45000000007</v>
      </c>
      <c r="Z52" s="123">
        <v>2312.6040915043318</v>
      </c>
      <c r="AA52" s="123">
        <v>78.13603995488964</v>
      </c>
      <c r="AB52" s="123">
        <v>253.37314322539069</v>
      </c>
      <c r="AC52" s="123">
        <v>153.12167931610927</v>
      </c>
      <c r="AD52" s="123">
        <v>105.49979055904623</v>
      </c>
      <c r="AE52" s="123">
        <v>122.96170452714676</v>
      </c>
      <c r="AF52" s="122">
        <v>3025.6964490869145</v>
      </c>
      <c r="AG52" s="123">
        <v>2356.5453613670643</v>
      </c>
      <c r="AH52" s="123">
        <v>79.538411437648918</v>
      </c>
      <c r="AI52" s="123">
        <v>296.08762509928516</v>
      </c>
      <c r="AJ52" s="123">
        <v>157.27597668358615</v>
      </c>
      <c r="AK52" s="123">
        <v>95.851620333598092</v>
      </c>
      <c r="AL52" s="123">
        <v>94.492732327243843</v>
      </c>
      <c r="AM52" s="122">
        <v>3079.791727248426</v>
      </c>
      <c r="AN52" s="138">
        <v>2334.5747264356978</v>
      </c>
      <c r="AO52" s="139">
        <v>78.837225696269286</v>
      </c>
      <c r="AP52" s="140">
        <v>274.73038416233794</v>
      </c>
      <c r="AQ52" s="140">
        <v>155.19882799984771</v>
      </c>
      <c r="AR52" s="139">
        <v>100.67570544632216</v>
      </c>
      <c r="AS52" s="141">
        <v>108.72721842719531</v>
      </c>
      <c r="AT52" s="122">
        <v>3052.7440881676703</v>
      </c>
      <c r="AU52" s="136">
        <v>3299.6631030996</v>
      </c>
      <c r="AV52" s="142">
        <v>0.96</v>
      </c>
      <c r="AW52" s="143">
        <v>0</v>
      </c>
      <c r="AX52" s="213">
        <v>-0.65035031588267112</v>
      </c>
      <c r="AY52" s="214">
        <v>-2.9223629168351237E-2</v>
      </c>
      <c r="AZ52" s="214">
        <v>-7.3256926185722937E-2</v>
      </c>
      <c r="BA52" s="214">
        <v>-4.1178746739387359E-2</v>
      </c>
      <c r="BB52" s="203">
        <v>1.1521236844298488</v>
      </c>
      <c r="BC52" s="139">
        <v>249</v>
      </c>
      <c r="BD52" s="204">
        <v>0.9</v>
      </c>
      <c r="BE52" s="139">
        <v>18854.510251737367</v>
      </c>
      <c r="BF52" s="139">
        <v>11000</v>
      </c>
      <c r="BG52" s="205">
        <v>0.65</v>
      </c>
      <c r="BH52" s="205">
        <v>0.65</v>
      </c>
      <c r="BI52" s="204">
        <v>0.2</v>
      </c>
      <c r="BJ52" s="142">
        <v>0.6</v>
      </c>
      <c r="BK52" s="205">
        <v>0.2</v>
      </c>
      <c r="BL52" s="170"/>
    </row>
    <row r="53" spans="1:64" x14ac:dyDescent="0.2">
      <c r="A53" s="91">
        <v>51</v>
      </c>
      <c r="B53" s="132" t="s">
        <v>64</v>
      </c>
      <c r="C53" s="155">
        <v>0</v>
      </c>
      <c r="D53" s="155">
        <v>0</v>
      </c>
      <c r="E53" s="155">
        <v>0</v>
      </c>
      <c r="F53" s="155">
        <v>0</v>
      </c>
      <c r="G53" s="97"/>
      <c r="H53" s="97"/>
      <c r="I53" s="164">
        <v>0</v>
      </c>
      <c r="J53" s="164"/>
      <c r="K53" s="165">
        <v>0</v>
      </c>
      <c r="L53" s="166">
        <v>1.35</v>
      </c>
      <c r="M53" s="118">
        <v>1.29</v>
      </c>
      <c r="N53" s="133">
        <v>3574</v>
      </c>
      <c r="O53" s="133">
        <v>3668</v>
      </c>
      <c r="P53" s="167">
        <v>542.88499999999988</v>
      </c>
      <c r="Q53" s="133">
        <v>0</v>
      </c>
      <c r="R53" s="168">
        <v>0</v>
      </c>
      <c r="S53" s="169">
        <v>597.65723000000003</v>
      </c>
      <c r="T53" s="135">
        <v>398</v>
      </c>
      <c r="U53" s="97">
        <v>2</v>
      </c>
      <c r="V53" s="139">
        <v>0.99</v>
      </c>
      <c r="W53" s="136">
        <v>77961.100000000006</v>
      </c>
      <c r="X53" s="123">
        <v>598102.28999999992</v>
      </c>
      <c r="Y53" s="137">
        <v>305399.3</v>
      </c>
      <c r="Z53" s="123">
        <v>2755.7385158867523</v>
      </c>
      <c r="AA53" s="123">
        <v>83.8393676552882</v>
      </c>
      <c r="AB53" s="123">
        <v>155.91196138780077</v>
      </c>
      <c r="AC53" s="123">
        <v>170.12390606752095</v>
      </c>
      <c r="AD53" s="123">
        <v>172.57764409625071</v>
      </c>
      <c r="AE53" s="123">
        <v>75.745481253497474</v>
      </c>
      <c r="AF53" s="122">
        <v>3413.9368763471107</v>
      </c>
      <c r="AG53" s="123">
        <v>2878.9961299235138</v>
      </c>
      <c r="AH53" s="123">
        <v>92.143688658669589</v>
      </c>
      <c r="AI53" s="123">
        <v>160.62365049073065</v>
      </c>
      <c r="AJ53" s="123">
        <v>172.01919334145779</v>
      </c>
      <c r="AK53" s="123">
        <v>81.378762268266087</v>
      </c>
      <c r="AL53" s="123">
        <v>227.88428298800434</v>
      </c>
      <c r="AM53" s="122">
        <v>3613.0457076706425</v>
      </c>
      <c r="AN53" s="138">
        <v>2817.3673229051328</v>
      </c>
      <c r="AO53" s="139">
        <v>87.991528156978887</v>
      </c>
      <c r="AP53" s="140">
        <v>158.26780593926571</v>
      </c>
      <c r="AQ53" s="140">
        <v>171.07154970448937</v>
      </c>
      <c r="AR53" s="139">
        <v>126.9782031822584</v>
      </c>
      <c r="AS53" s="141">
        <v>151.81488212075089</v>
      </c>
      <c r="AT53" s="122">
        <v>3513.4912920088759</v>
      </c>
      <c r="AU53" s="136">
        <v>3299.6631030996</v>
      </c>
      <c r="AV53" s="142">
        <v>0.96</v>
      </c>
      <c r="AW53" s="143">
        <v>-0.32401518310825828</v>
      </c>
      <c r="AX53" s="213">
        <v>-0.60152448133875869</v>
      </c>
      <c r="AY53" s="214">
        <v>-2.9223629168351237E-2</v>
      </c>
      <c r="AZ53" s="214">
        <v>-7.3256926185722937E-2</v>
      </c>
      <c r="BA53" s="214">
        <v>-3.4770077709704354E-2</v>
      </c>
      <c r="BB53" s="203">
        <v>1.1521236844298488</v>
      </c>
      <c r="BC53" s="139">
        <v>249</v>
      </c>
      <c r="BD53" s="204">
        <v>0.9</v>
      </c>
      <c r="BE53" s="139">
        <v>18854.510251737367</v>
      </c>
      <c r="BF53" s="139">
        <v>11000</v>
      </c>
      <c r="BG53" s="205">
        <v>0.65</v>
      </c>
      <c r="BH53" s="205">
        <v>0.65</v>
      </c>
      <c r="BI53" s="204">
        <v>0.2</v>
      </c>
      <c r="BJ53" s="142">
        <v>0.6</v>
      </c>
      <c r="BK53" s="205">
        <v>0.2</v>
      </c>
      <c r="BL53" s="170"/>
    </row>
    <row r="54" spans="1:64" x14ac:dyDescent="0.2">
      <c r="A54" s="91">
        <v>52</v>
      </c>
      <c r="B54" s="132" t="s">
        <v>65</v>
      </c>
      <c r="C54" s="155">
        <v>0</v>
      </c>
      <c r="D54" s="155">
        <v>0</v>
      </c>
      <c r="E54" s="155">
        <v>0</v>
      </c>
      <c r="F54" s="155">
        <v>0</v>
      </c>
      <c r="G54" s="97"/>
      <c r="H54" s="97"/>
      <c r="I54" s="164">
        <v>0</v>
      </c>
      <c r="J54" s="164"/>
      <c r="K54" s="165">
        <v>0</v>
      </c>
      <c r="L54" s="166">
        <v>0.92</v>
      </c>
      <c r="M54" s="118">
        <v>0.9</v>
      </c>
      <c r="N54" s="133">
        <v>26722</v>
      </c>
      <c r="O54" s="133">
        <v>26875</v>
      </c>
      <c r="P54" s="167">
        <v>2660.8819999999996</v>
      </c>
      <c r="Q54" s="133">
        <v>0</v>
      </c>
      <c r="R54" s="168">
        <v>4402.5418019771796</v>
      </c>
      <c r="S54" s="169">
        <v>3136.8576699999999</v>
      </c>
      <c r="T54" s="135">
        <v>2773</v>
      </c>
      <c r="U54" s="97">
        <v>42</v>
      </c>
      <c r="V54" s="139">
        <v>0.93</v>
      </c>
      <c r="W54" s="136">
        <v>319358.3</v>
      </c>
      <c r="X54" s="123">
        <v>3406869.24</v>
      </c>
      <c r="Y54" s="137">
        <v>3191905.600000001</v>
      </c>
      <c r="Z54" s="123">
        <v>3892.4007410651379</v>
      </c>
      <c r="AA54" s="123">
        <v>78.941832572412238</v>
      </c>
      <c r="AB54" s="123">
        <v>631.27722475862583</v>
      </c>
      <c r="AC54" s="123">
        <v>190.15932431022239</v>
      </c>
      <c r="AD54" s="123">
        <v>92.633202978818957</v>
      </c>
      <c r="AE54" s="123">
        <v>159.61681386123794</v>
      </c>
      <c r="AF54" s="122">
        <v>5045.0291395464556</v>
      </c>
      <c r="AG54" s="123">
        <v>3923.7997305752438</v>
      </c>
      <c r="AH54" s="123">
        <v>96.250664186046535</v>
      </c>
      <c r="AI54" s="123">
        <v>609.53391627906979</v>
      </c>
      <c r="AJ54" s="123">
        <v>198.65571704768868</v>
      </c>
      <c r="AK54" s="123">
        <v>122.94813767441862</v>
      </c>
      <c r="AL54" s="123">
        <v>223.63323162790701</v>
      </c>
      <c r="AM54" s="122">
        <v>5174.8213973903748</v>
      </c>
      <c r="AN54" s="138">
        <v>3908.1002358201908</v>
      </c>
      <c r="AO54" s="139">
        <v>87.596248379229394</v>
      </c>
      <c r="AP54" s="140">
        <v>620.40557051884775</v>
      </c>
      <c r="AQ54" s="140">
        <v>194.40752067895554</v>
      </c>
      <c r="AR54" s="139">
        <v>107.79067032661879</v>
      </c>
      <c r="AS54" s="141">
        <v>191.62502274457248</v>
      </c>
      <c r="AT54" s="122">
        <v>5109.9252684684152</v>
      </c>
      <c r="AU54" s="136">
        <v>3299.6631030996</v>
      </c>
      <c r="AV54" s="142">
        <v>0.96</v>
      </c>
      <c r="AW54" s="143">
        <v>-1</v>
      </c>
      <c r="AX54" s="213">
        <v>-0.89481097365507134</v>
      </c>
      <c r="AY54" s="214">
        <v>-2.9223629168351237E-2</v>
      </c>
      <c r="AZ54" s="214">
        <v>0.11124562053239362</v>
      </c>
      <c r="BA54" s="214">
        <v>-4.1621083521586513E-2</v>
      </c>
      <c r="BB54" s="203">
        <v>1.1521236844298488</v>
      </c>
      <c r="BC54" s="139">
        <v>249</v>
      </c>
      <c r="BD54" s="204">
        <v>0.9</v>
      </c>
      <c r="BE54" s="139">
        <v>18854.510251737367</v>
      </c>
      <c r="BF54" s="139">
        <v>11000</v>
      </c>
      <c r="BG54" s="205">
        <v>0.65</v>
      </c>
      <c r="BH54" s="205">
        <v>0.65</v>
      </c>
      <c r="BI54" s="204">
        <v>0.2</v>
      </c>
      <c r="BJ54" s="142">
        <v>0.6</v>
      </c>
      <c r="BK54" s="205">
        <v>0.2</v>
      </c>
      <c r="BL54" s="170"/>
    </row>
    <row r="55" spans="1:64" x14ac:dyDescent="0.2">
      <c r="A55" s="91">
        <v>54</v>
      </c>
      <c r="B55" s="132" t="s">
        <v>66</v>
      </c>
      <c r="C55" s="155">
        <v>2151200</v>
      </c>
      <c r="D55" s="155">
        <v>1608900</v>
      </c>
      <c r="E55" s="155">
        <v>1391600</v>
      </c>
      <c r="F55" s="155">
        <v>0</v>
      </c>
      <c r="G55" s="97"/>
      <c r="H55" s="97"/>
      <c r="I55" s="164">
        <v>0</v>
      </c>
      <c r="J55" s="164"/>
      <c r="K55" s="165">
        <v>0</v>
      </c>
      <c r="L55" s="166">
        <v>1.27</v>
      </c>
      <c r="M55" s="118">
        <v>1.27</v>
      </c>
      <c r="N55" s="133">
        <v>9026</v>
      </c>
      <c r="O55" s="133">
        <v>9123</v>
      </c>
      <c r="P55" s="167">
        <v>3395.0188000000003</v>
      </c>
      <c r="Q55" s="133">
        <v>751</v>
      </c>
      <c r="R55" s="168">
        <v>4342.7822806980203</v>
      </c>
      <c r="S55" s="169">
        <v>5489.16759</v>
      </c>
      <c r="T55" s="135">
        <v>1133</v>
      </c>
      <c r="U55" s="97">
        <v>28</v>
      </c>
      <c r="V55" s="139">
        <v>0.93</v>
      </c>
      <c r="W55" s="136">
        <v>67374.05</v>
      </c>
      <c r="X55" s="123">
        <v>536759.6</v>
      </c>
      <c r="Y55" s="137">
        <v>1154115.1000000001</v>
      </c>
      <c r="Z55" s="123">
        <v>2265.6713431021235</v>
      </c>
      <c r="AA55" s="123">
        <v>69.71308996233104</v>
      </c>
      <c r="AB55" s="123">
        <v>155.6836693995125</v>
      </c>
      <c r="AC55" s="123">
        <v>149.13366433589377</v>
      </c>
      <c r="AD55" s="123">
        <v>113.34740194992244</v>
      </c>
      <c r="AE55" s="123">
        <v>118.43647241302901</v>
      </c>
      <c r="AF55" s="122">
        <v>2871.9856411628125</v>
      </c>
      <c r="AG55" s="123">
        <v>2404.8808343126698</v>
      </c>
      <c r="AH55" s="123">
        <v>63.59212978187</v>
      </c>
      <c r="AI55" s="123">
        <v>164.18920311301105</v>
      </c>
      <c r="AJ55" s="123">
        <v>154.87151140916018</v>
      </c>
      <c r="AK55" s="123">
        <v>133.4492875150718</v>
      </c>
      <c r="AL55" s="123">
        <v>65.719938616683109</v>
      </c>
      <c r="AM55" s="122">
        <v>2986.7029047484657</v>
      </c>
      <c r="AN55" s="138">
        <v>2335.2760887073964</v>
      </c>
      <c r="AO55" s="139">
        <v>66.652609872100527</v>
      </c>
      <c r="AP55" s="140">
        <v>159.93643625626177</v>
      </c>
      <c r="AQ55" s="140">
        <v>152.00258787252699</v>
      </c>
      <c r="AR55" s="139">
        <v>123.39834473249712</v>
      </c>
      <c r="AS55" s="141">
        <v>92.078205514856052</v>
      </c>
      <c r="AT55" s="122">
        <v>2929.3442729556391</v>
      </c>
      <c r="AU55" s="136">
        <v>3299.6631030996</v>
      </c>
      <c r="AV55" s="142">
        <v>0.96</v>
      </c>
      <c r="AW55" s="143">
        <v>0</v>
      </c>
      <c r="AX55" s="213">
        <v>0.74011307703117779</v>
      </c>
      <c r="AY55" s="214">
        <v>2.757123759182234E-2</v>
      </c>
      <c r="AZ55" s="214">
        <v>0.10874120731780275</v>
      </c>
      <c r="BA55" s="214">
        <v>3.0266502068181822E-2</v>
      </c>
      <c r="BB55" s="203">
        <v>1.1521236844298488</v>
      </c>
      <c r="BC55" s="139">
        <v>249</v>
      </c>
      <c r="BD55" s="204">
        <v>0.9</v>
      </c>
      <c r="BE55" s="139">
        <v>18854.510251737367</v>
      </c>
      <c r="BF55" s="139">
        <v>11000</v>
      </c>
      <c r="BG55" s="205">
        <v>0.65</v>
      </c>
      <c r="BH55" s="205">
        <v>0.65</v>
      </c>
      <c r="BI55" s="204">
        <v>0.2</v>
      </c>
      <c r="BJ55" s="142">
        <v>0.6</v>
      </c>
      <c r="BK55" s="205">
        <v>0.2</v>
      </c>
      <c r="BL55" s="170"/>
    </row>
    <row r="56" spans="1:64" x14ac:dyDescent="0.2">
      <c r="A56" s="91">
        <v>57</v>
      </c>
      <c r="B56" s="132" t="s">
        <v>67</v>
      </c>
      <c r="C56" s="155">
        <v>890400</v>
      </c>
      <c r="D56" s="155">
        <v>2233200</v>
      </c>
      <c r="E56" s="155">
        <v>100500</v>
      </c>
      <c r="F56" s="155">
        <v>0</v>
      </c>
      <c r="G56" s="97"/>
      <c r="H56" s="97"/>
      <c r="I56" s="164">
        <v>0</v>
      </c>
      <c r="J56" s="164"/>
      <c r="K56" s="165">
        <v>0</v>
      </c>
      <c r="L56" s="166">
        <v>1.48</v>
      </c>
      <c r="M56" s="118">
        <v>1.48</v>
      </c>
      <c r="N56" s="133">
        <v>2657</v>
      </c>
      <c r="O56" s="133">
        <v>2667</v>
      </c>
      <c r="P56" s="167">
        <v>2061.9035999999996</v>
      </c>
      <c r="Q56" s="133">
        <v>2628</v>
      </c>
      <c r="R56" s="168">
        <v>3807.5136684598801</v>
      </c>
      <c r="S56" s="169">
        <v>8752.8399599999993</v>
      </c>
      <c r="T56" s="135">
        <v>307</v>
      </c>
      <c r="U56" s="97">
        <v>8</v>
      </c>
      <c r="V56" s="139">
        <v>0.91</v>
      </c>
      <c r="W56" s="136">
        <v>6562.4500000000007</v>
      </c>
      <c r="X56" s="123">
        <v>399512</v>
      </c>
      <c r="Y56" s="137">
        <v>280218.8</v>
      </c>
      <c r="Z56" s="123">
        <v>2200.7338459068387</v>
      </c>
      <c r="AA56" s="123">
        <v>100.82115167482122</v>
      </c>
      <c r="AB56" s="123">
        <v>106.12649604817463</v>
      </c>
      <c r="AC56" s="123">
        <v>239.12051703857819</v>
      </c>
      <c r="AD56" s="123">
        <v>108.07730523146407</v>
      </c>
      <c r="AE56" s="123">
        <v>91.856981558148291</v>
      </c>
      <c r="AF56" s="122">
        <v>2846.7362974580246</v>
      </c>
      <c r="AG56" s="123">
        <v>2169.6590037512869</v>
      </c>
      <c r="AH56" s="123">
        <v>94.677221597300345</v>
      </c>
      <c r="AI56" s="123">
        <v>98.340419947506547</v>
      </c>
      <c r="AJ56" s="123">
        <v>242.40289610680503</v>
      </c>
      <c r="AK56" s="123">
        <v>90.168335208098995</v>
      </c>
      <c r="AL56" s="123">
        <v>123.1489126359205</v>
      </c>
      <c r="AM56" s="122">
        <v>2818.3967892469191</v>
      </c>
      <c r="AN56" s="138">
        <v>2185.1964248290628</v>
      </c>
      <c r="AO56" s="139">
        <v>97.749186636060784</v>
      </c>
      <c r="AP56" s="140">
        <v>102.23345799784059</v>
      </c>
      <c r="AQ56" s="140">
        <v>240.76170657269159</v>
      </c>
      <c r="AR56" s="139">
        <v>99.122820219781531</v>
      </c>
      <c r="AS56" s="141">
        <v>107.50294709703439</v>
      </c>
      <c r="AT56" s="122">
        <v>2832.5665433524719</v>
      </c>
      <c r="AU56" s="136">
        <v>3299.6631030996</v>
      </c>
      <c r="AV56" s="142">
        <v>0.96</v>
      </c>
      <c r="AW56" s="143">
        <v>0</v>
      </c>
      <c r="AX56" s="213">
        <v>3.1403349992327261</v>
      </c>
      <c r="AY56" s="214">
        <v>0.65062021284939142</v>
      </c>
      <c r="AZ56" s="214">
        <v>8.6309070025691978E-2</v>
      </c>
      <c r="BA56" s="214">
        <v>0.42756296625961138</v>
      </c>
      <c r="BB56" s="203">
        <v>1.1521236844298488</v>
      </c>
      <c r="BC56" s="139">
        <v>249</v>
      </c>
      <c r="BD56" s="204">
        <v>0.9</v>
      </c>
      <c r="BE56" s="139">
        <v>18854.510251737367</v>
      </c>
      <c r="BF56" s="139">
        <v>11000</v>
      </c>
      <c r="BG56" s="205">
        <v>0.65</v>
      </c>
      <c r="BH56" s="205">
        <v>0.65</v>
      </c>
      <c r="BI56" s="204">
        <v>0.2</v>
      </c>
      <c r="BJ56" s="142">
        <v>0.6</v>
      </c>
      <c r="BK56" s="205">
        <v>0.2</v>
      </c>
      <c r="BL56" s="170"/>
    </row>
    <row r="57" spans="1:64" x14ac:dyDescent="0.2">
      <c r="A57" s="91">
        <v>60</v>
      </c>
      <c r="B57" s="132" t="s">
        <v>68</v>
      </c>
      <c r="C57" s="155">
        <v>2836100</v>
      </c>
      <c r="D57" s="155">
        <v>2386000</v>
      </c>
      <c r="E57" s="155">
        <v>218300</v>
      </c>
      <c r="F57" s="155">
        <v>33400</v>
      </c>
      <c r="G57" s="97"/>
      <c r="H57" s="97"/>
      <c r="I57" s="164">
        <v>0</v>
      </c>
      <c r="J57" s="164"/>
      <c r="K57" s="165">
        <v>0</v>
      </c>
      <c r="L57" s="166">
        <v>1.44</v>
      </c>
      <c r="M57" s="118">
        <v>1.44</v>
      </c>
      <c r="N57" s="133">
        <v>3644</v>
      </c>
      <c r="O57" s="133">
        <v>3611</v>
      </c>
      <c r="P57" s="167">
        <v>2637.1947999999998</v>
      </c>
      <c r="Q57" s="133">
        <v>1537</v>
      </c>
      <c r="R57" s="168">
        <v>0</v>
      </c>
      <c r="S57" s="169">
        <v>9270.1651299999994</v>
      </c>
      <c r="T57" s="135">
        <v>416</v>
      </c>
      <c r="U57" s="97">
        <v>10</v>
      </c>
      <c r="V57" s="139">
        <v>1.02</v>
      </c>
      <c r="W57" s="136">
        <v>25030.400000000001</v>
      </c>
      <c r="X57" s="123">
        <v>545295.69999999995</v>
      </c>
      <c r="Y57" s="137">
        <v>544703.09999999986</v>
      </c>
      <c r="Z57" s="123">
        <v>2003.6826432053806</v>
      </c>
      <c r="AA57" s="123">
        <v>34.114777716794734</v>
      </c>
      <c r="AB57" s="123">
        <v>77.236361141602629</v>
      </c>
      <c r="AC57" s="123">
        <v>125.32687693143846</v>
      </c>
      <c r="AD57" s="123">
        <v>46.089187705817785</v>
      </c>
      <c r="AE57" s="123">
        <v>53.193496158068058</v>
      </c>
      <c r="AF57" s="122">
        <v>2339.6433428591026</v>
      </c>
      <c r="AG57" s="123">
        <v>2043.4247630144782</v>
      </c>
      <c r="AH57" s="123">
        <v>29.428385488784269</v>
      </c>
      <c r="AI57" s="123">
        <v>92.75238161174191</v>
      </c>
      <c r="AJ57" s="123">
        <v>132.74679666022251</v>
      </c>
      <c r="AK57" s="123">
        <v>100.1560786485738</v>
      </c>
      <c r="AL57" s="123">
        <v>40.589102741622817</v>
      </c>
      <c r="AM57" s="122">
        <v>2439.0975081654237</v>
      </c>
      <c r="AN57" s="138">
        <v>2023.5537031099293</v>
      </c>
      <c r="AO57" s="139">
        <v>31.771581602789503</v>
      </c>
      <c r="AP57" s="140">
        <v>84.994371376672262</v>
      </c>
      <c r="AQ57" s="140">
        <v>129.03683679583048</v>
      </c>
      <c r="AR57" s="139">
        <v>73.122633177195794</v>
      </c>
      <c r="AS57" s="141">
        <v>46.891299449845434</v>
      </c>
      <c r="AT57" s="122">
        <v>2389.370425512263</v>
      </c>
      <c r="AU57" s="136">
        <v>3299.6631030996</v>
      </c>
      <c r="AV57" s="142">
        <v>0.96</v>
      </c>
      <c r="AW57" s="143">
        <v>0</v>
      </c>
      <c r="AX57" s="213">
        <v>2.8841702433639407</v>
      </c>
      <c r="AY57" s="214">
        <v>0.26444205585361663</v>
      </c>
      <c r="AZ57" s="214">
        <v>-7.3256926185722937E-2</v>
      </c>
      <c r="BA57" s="214">
        <v>0.32162054769507281</v>
      </c>
      <c r="BB57" s="203">
        <v>1.1521236844298488</v>
      </c>
      <c r="BC57" s="139">
        <v>249</v>
      </c>
      <c r="BD57" s="204">
        <v>0.9</v>
      </c>
      <c r="BE57" s="139">
        <v>18854.510251737367</v>
      </c>
      <c r="BF57" s="139">
        <v>11000</v>
      </c>
      <c r="BG57" s="205">
        <v>0.65</v>
      </c>
      <c r="BH57" s="205">
        <v>0.65</v>
      </c>
      <c r="BI57" s="204">
        <v>0.2</v>
      </c>
      <c r="BJ57" s="142">
        <v>0.6</v>
      </c>
      <c r="BK57" s="205">
        <v>0.2</v>
      </c>
      <c r="BL57" s="170"/>
    </row>
    <row r="58" spans="1:64" x14ac:dyDescent="0.2">
      <c r="A58" s="91">
        <v>62</v>
      </c>
      <c r="B58" s="132" t="s">
        <v>69</v>
      </c>
      <c r="C58" s="155">
        <v>4200600</v>
      </c>
      <c r="D58" s="155">
        <v>1358700</v>
      </c>
      <c r="E58" s="155">
        <v>502600</v>
      </c>
      <c r="F58" s="155">
        <v>346800</v>
      </c>
      <c r="G58" s="97"/>
      <c r="H58" s="97"/>
      <c r="I58" s="164">
        <v>0</v>
      </c>
      <c r="J58" s="164"/>
      <c r="K58" s="165">
        <v>0</v>
      </c>
      <c r="L58" s="166">
        <v>1.45</v>
      </c>
      <c r="M58" s="118">
        <v>1.45</v>
      </c>
      <c r="N58" s="133">
        <v>5015</v>
      </c>
      <c r="O58" s="133">
        <v>5057</v>
      </c>
      <c r="P58" s="167">
        <v>2402.4285999999997</v>
      </c>
      <c r="Q58" s="133">
        <v>431</v>
      </c>
      <c r="R58" s="168">
        <v>0</v>
      </c>
      <c r="S58" s="169">
        <v>4354.5887499999999</v>
      </c>
      <c r="T58" s="135">
        <v>596</v>
      </c>
      <c r="U58" s="97">
        <v>20</v>
      </c>
      <c r="V58" s="139">
        <v>1.01</v>
      </c>
      <c r="W58" s="136">
        <v>268961.59999999998</v>
      </c>
      <c r="X58" s="123">
        <v>1053291.2500000002</v>
      </c>
      <c r="Y58" s="137">
        <v>966386.84999999963</v>
      </c>
      <c r="Z58" s="123">
        <v>1872.6838324865012</v>
      </c>
      <c r="AA58" s="123">
        <v>45.548783649052844</v>
      </c>
      <c r="AB58" s="123">
        <v>127.82694915254238</v>
      </c>
      <c r="AC58" s="123">
        <v>130.99932836188691</v>
      </c>
      <c r="AD58" s="123">
        <v>54.401495513459622</v>
      </c>
      <c r="AE58" s="123">
        <v>53.96816550348953</v>
      </c>
      <c r="AF58" s="122">
        <v>2285.428554666933</v>
      </c>
      <c r="AG58" s="123">
        <v>1922.5870486560971</v>
      </c>
      <c r="AH58" s="123">
        <v>40.623818469448288</v>
      </c>
      <c r="AI58" s="123">
        <v>140.48894601542415</v>
      </c>
      <c r="AJ58" s="123">
        <v>134.71146068583238</v>
      </c>
      <c r="AK58" s="123">
        <v>63.946895392525214</v>
      </c>
      <c r="AL58" s="123">
        <v>72.354251532529176</v>
      </c>
      <c r="AM58" s="122">
        <v>2374.7124207518564</v>
      </c>
      <c r="AN58" s="138">
        <v>1897.6354405712991</v>
      </c>
      <c r="AO58" s="139">
        <v>43.086301059250566</v>
      </c>
      <c r="AP58" s="140">
        <v>134.15794758398326</v>
      </c>
      <c r="AQ58" s="140">
        <v>132.85539452385964</v>
      </c>
      <c r="AR58" s="139">
        <v>59.174195452992421</v>
      </c>
      <c r="AS58" s="141">
        <v>63.161208518009353</v>
      </c>
      <c r="AT58" s="122">
        <v>2330.0704877093945</v>
      </c>
      <c r="AU58" s="136">
        <v>3299.6631030996</v>
      </c>
      <c r="AV58" s="142">
        <v>0.96</v>
      </c>
      <c r="AW58" s="143">
        <v>0</v>
      </c>
      <c r="AX58" s="213">
        <v>1.3562515281142511</v>
      </c>
      <c r="AY58" s="214">
        <v>2.9578241077890966E-2</v>
      </c>
      <c r="AZ58" s="214">
        <v>-7.3256926185722937E-2</v>
      </c>
      <c r="BA58" s="214">
        <v>6.8720558374427448E-2</v>
      </c>
      <c r="BB58" s="203">
        <v>1.1521236844298488</v>
      </c>
      <c r="BC58" s="139">
        <v>249</v>
      </c>
      <c r="BD58" s="204">
        <v>0.9</v>
      </c>
      <c r="BE58" s="139">
        <v>18854.510251737367</v>
      </c>
      <c r="BF58" s="139">
        <v>11000</v>
      </c>
      <c r="BG58" s="205">
        <v>0.65</v>
      </c>
      <c r="BH58" s="205">
        <v>0.65</v>
      </c>
      <c r="BI58" s="204">
        <v>0.2</v>
      </c>
      <c r="BJ58" s="142">
        <v>0.6</v>
      </c>
      <c r="BK58" s="205">
        <v>0.2</v>
      </c>
      <c r="BL58" s="170"/>
    </row>
    <row r="59" spans="1:64" x14ac:dyDescent="0.2">
      <c r="A59" s="91">
        <v>63</v>
      </c>
      <c r="B59" s="132" t="s">
        <v>70</v>
      </c>
      <c r="C59" s="155">
        <v>6424800</v>
      </c>
      <c r="D59" s="155">
        <v>1163100</v>
      </c>
      <c r="E59" s="155">
        <v>387400</v>
      </c>
      <c r="F59" s="155">
        <v>335400</v>
      </c>
      <c r="G59" s="97"/>
      <c r="H59" s="97"/>
      <c r="I59" s="164">
        <v>0</v>
      </c>
      <c r="J59" s="164"/>
      <c r="K59" s="165">
        <v>0</v>
      </c>
      <c r="L59" s="166">
        <v>1.48</v>
      </c>
      <c r="M59" s="118">
        <v>1.45</v>
      </c>
      <c r="N59" s="133">
        <v>8536</v>
      </c>
      <c r="O59" s="133">
        <v>8581</v>
      </c>
      <c r="P59" s="167">
        <v>3150.0731999999998</v>
      </c>
      <c r="Q59" s="133">
        <v>745</v>
      </c>
      <c r="R59" s="168">
        <v>0</v>
      </c>
      <c r="S59" s="169">
        <v>5117.5464599999996</v>
      </c>
      <c r="T59" s="135">
        <v>963</v>
      </c>
      <c r="U59" s="97">
        <v>32</v>
      </c>
      <c r="V59" s="139">
        <v>1.0900000000000001</v>
      </c>
      <c r="W59" s="136">
        <v>302319.35999999999</v>
      </c>
      <c r="X59" s="123">
        <v>1672579.4000000001</v>
      </c>
      <c r="Y59" s="137">
        <v>1486731.3000000005</v>
      </c>
      <c r="Z59" s="123">
        <v>1854.7330645225054</v>
      </c>
      <c r="AA59" s="123">
        <v>54.230178069353336</v>
      </c>
      <c r="AB59" s="123">
        <v>140.5040182755389</v>
      </c>
      <c r="AC59" s="123">
        <v>122.26266335524498</v>
      </c>
      <c r="AD59" s="123">
        <v>61.419892221180881</v>
      </c>
      <c r="AE59" s="123">
        <v>91.41761363636364</v>
      </c>
      <c r="AF59" s="122">
        <v>2324.567430080187</v>
      </c>
      <c r="AG59" s="123">
        <v>1954.5590987052944</v>
      </c>
      <c r="AH59" s="123">
        <v>59.860010488288083</v>
      </c>
      <c r="AI59" s="123">
        <v>190.45728353338774</v>
      </c>
      <c r="AJ59" s="123">
        <v>125.83677200073245</v>
      </c>
      <c r="AK59" s="123">
        <v>81.798094627665762</v>
      </c>
      <c r="AL59" s="123">
        <v>92.938352173406358</v>
      </c>
      <c r="AM59" s="122">
        <v>2505.4496115287743</v>
      </c>
      <c r="AN59" s="138">
        <v>1904.6460816138999</v>
      </c>
      <c r="AO59" s="139">
        <v>57.045094278820713</v>
      </c>
      <c r="AP59" s="140">
        <v>165.48065090446332</v>
      </c>
      <c r="AQ59" s="140">
        <v>124.04971767798872</v>
      </c>
      <c r="AR59" s="139">
        <v>71.608993424423318</v>
      </c>
      <c r="AS59" s="141">
        <v>92.177982904884999</v>
      </c>
      <c r="AT59" s="122">
        <v>2415.0085208044807</v>
      </c>
      <c r="AU59" s="136">
        <v>3299.6631030996</v>
      </c>
      <c r="AV59" s="142">
        <v>0.96</v>
      </c>
      <c r="AW59" s="143">
        <v>0</v>
      </c>
      <c r="AX59" s="213">
        <v>0.7099452638905468</v>
      </c>
      <c r="AY59" s="214">
        <v>3.0676146191190717E-2</v>
      </c>
      <c r="AZ59" s="214">
        <v>-7.3256926185722937E-2</v>
      </c>
      <c r="BA59" s="214">
        <v>2.9480370256501704E-2</v>
      </c>
      <c r="BB59" s="203">
        <v>1.1521236844298488</v>
      </c>
      <c r="BC59" s="139">
        <v>249</v>
      </c>
      <c r="BD59" s="204">
        <v>0.9</v>
      </c>
      <c r="BE59" s="139">
        <v>18854.510251737367</v>
      </c>
      <c r="BF59" s="139">
        <v>11000</v>
      </c>
      <c r="BG59" s="205">
        <v>0.65</v>
      </c>
      <c r="BH59" s="205">
        <v>0.65</v>
      </c>
      <c r="BI59" s="204">
        <v>0.2</v>
      </c>
      <c r="BJ59" s="142">
        <v>0.6</v>
      </c>
      <c r="BK59" s="205">
        <v>0.2</v>
      </c>
      <c r="BL59" s="170"/>
    </row>
    <row r="60" spans="1:64" x14ac:dyDescent="0.2">
      <c r="A60" s="91">
        <v>64</v>
      </c>
      <c r="B60" s="132" t="s">
        <v>71</v>
      </c>
      <c r="C60" s="155">
        <v>885400</v>
      </c>
      <c r="D60" s="155">
        <v>0</v>
      </c>
      <c r="E60" s="155">
        <v>0</v>
      </c>
      <c r="F60" s="155">
        <v>0</v>
      </c>
      <c r="G60" s="97"/>
      <c r="H60" s="97"/>
      <c r="I60" s="164">
        <v>0</v>
      </c>
      <c r="J60" s="164"/>
      <c r="K60" s="165">
        <v>0</v>
      </c>
      <c r="L60" s="166">
        <v>1.4</v>
      </c>
      <c r="M60" s="118">
        <v>1.4</v>
      </c>
      <c r="N60" s="133">
        <v>1946</v>
      </c>
      <c r="O60" s="133">
        <v>1911</v>
      </c>
      <c r="P60" s="167">
        <v>356.24779999999998</v>
      </c>
      <c r="Q60" s="133">
        <v>9</v>
      </c>
      <c r="R60" s="168">
        <v>0</v>
      </c>
      <c r="S60" s="169">
        <v>282.00810999999999</v>
      </c>
      <c r="T60" s="135">
        <v>198</v>
      </c>
      <c r="U60" s="97">
        <v>2</v>
      </c>
      <c r="V60" s="139">
        <v>1.1000000000000001</v>
      </c>
      <c r="W60" s="136">
        <v>0</v>
      </c>
      <c r="X60" s="123">
        <v>302306.95</v>
      </c>
      <c r="Y60" s="137">
        <v>225553.05000000002</v>
      </c>
      <c r="Z60" s="123">
        <v>2339.5049589751279</v>
      </c>
      <c r="AA60" s="123">
        <v>95.362050359712242</v>
      </c>
      <c r="AB60" s="123">
        <v>105.07795477903392</v>
      </c>
      <c r="AC60" s="123">
        <v>112.67383396980776</v>
      </c>
      <c r="AD60" s="123">
        <v>57.884917780061663</v>
      </c>
      <c r="AE60" s="123">
        <v>49.680704008221994</v>
      </c>
      <c r="AF60" s="122">
        <v>2760.1844198719655</v>
      </c>
      <c r="AG60" s="123">
        <v>2339.860912039243</v>
      </c>
      <c r="AH60" s="123">
        <v>92.90518053375196</v>
      </c>
      <c r="AI60" s="123">
        <v>105.4856881214024</v>
      </c>
      <c r="AJ60" s="123">
        <v>117.05287917333615</v>
      </c>
      <c r="AK60" s="123">
        <v>23.572370486656201</v>
      </c>
      <c r="AL60" s="123">
        <v>-13.651151229722657</v>
      </c>
      <c r="AM60" s="122">
        <v>2665.2258791246677</v>
      </c>
      <c r="AN60" s="138">
        <v>2339.6829355071854</v>
      </c>
      <c r="AO60" s="139">
        <v>94.133615446732108</v>
      </c>
      <c r="AP60" s="140">
        <v>105.28182145021816</v>
      </c>
      <c r="AQ60" s="140">
        <v>114.86335657157196</v>
      </c>
      <c r="AR60" s="139">
        <v>40.728644133358934</v>
      </c>
      <c r="AS60" s="141">
        <v>18.014776389249668</v>
      </c>
      <c r="AT60" s="122">
        <v>2712.7051494983161</v>
      </c>
      <c r="AU60" s="136">
        <v>3299.6631030996</v>
      </c>
      <c r="AV60" s="142">
        <v>0.96</v>
      </c>
      <c r="AW60" s="143">
        <v>0</v>
      </c>
      <c r="AX60" s="213">
        <v>-0.37158275704695792</v>
      </c>
      <c r="AY60" s="214">
        <v>-2.5974337886691852E-2</v>
      </c>
      <c r="AZ60" s="214">
        <v>-7.3256926185722937E-2</v>
      </c>
      <c r="BA60" s="214">
        <v>-3.7048002249035199E-2</v>
      </c>
      <c r="BB60" s="203">
        <v>1.1521236844298488</v>
      </c>
      <c r="BC60" s="139">
        <v>249</v>
      </c>
      <c r="BD60" s="204">
        <v>0.9</v>
      </c>
      <c r="BE60" s="139">
        <v>18854.510251737367</v>
      </c>
      <c r="BF60" s="139">
        <v>11000</v>
      </c>
      <c r="BG60" s="205">
        <v>0.65</v>
      </c>
      <c r="BH60" s="205">
        <v>0.65</v>
      </c>
      <c r="BI60" s="204">
        <v>0.2</v>
      </c>
      <c r="BJ60" s="142">
        <v>0.6</v>
      </c>
      <c r="BK60" s="205">
        <v>0.2</v>
      </c>
      <c r="BL60" s="170"/>
    </row>
    <row r="61" spans="1:64" x14ac:dyDescent="0.2">
      <c r="A61" s="91">
        <v>65</v>
      </c>
      <c r="B61" s="132" t="s">
        <v>72</v>
      </c>
      <c r="C61" s="155">
        <v>1299600</v>
      </c>
      <c r="D61" s="155">
        <v>755000</v>
      </c>
      <c r="E61" s="155">
        <v>356400</v>
      </c>
      <c r="F61" s="155">
        <v>71900</v>
      </c>
      <c r="G61" s="97"/>
      <c r="H61" s="97"/>
      <c r="I61" s="164">
        <v>0</v>
      </c>
      <c r="J61" s="164"/>
      <c r="K61" s="165">
        <v>0</v>
      </c>
      <c r="L61" s="166">
        <v>1.53</v>
      </c>
      <c r="M61" s="118">
        <v>1.53</v>
      </c>
      <c r="N61" s="133">
        <v>1303</v>
      </c>
      <c r="O61" s="133">
        <v>1300</v>
      </c>
      <c r="P61" s="167">
        <v>893.70439999999996</v>
      </c>
      <c r="Q61" s="133">
        <v>707</v>
      </c>
      <c r="R61" s="168">
        <v>0</v>
      </c>
      <c r="S61" s="169">
        <v>1265.0126299999999</v>
      </c>
      <c r="T61" s="135">
        <v>172</v>
      </c>
      <c r="U61" s="97">
        <v>6</v>
      </c>
      <c r="V61" s="139">
        <v>0.98</v>
      </c>
      <c r="W61" s="136">
        <v>206511.75</v>
      </c>
      <c r="X61" s="123">
        <v>157351.15000000002</v>
      </c>
      <c r="Y61" s="137">
        <v>95290.150000000009</v>
      </c>
      <c r="Z61" s="123">
        <v>1681.2142329836606</v>
      </c>
      <c r="AA61" s="123">
        <v>48.699693016116655</v>
      </c>
      <c r="AB61" s="123">
        <v>68.501189562547964</v>
      </c>
      <c r="AC61" s="123">
        <v>112.15628633968998</v>
      </c>
      <c r="AD61" s="123">
        <v>44.076707597851112</v>
      </c>
      <c r="AE61" s="123">
        <v>38.912010744435918</v>
      </c>
      <c r="AF61" s="122">
        <v>1993.5601202443024</v>
      </c>
      <c r="AG61" s="123">
        <v>1923.5321924954435</v>
      </c>
      <c r="AH61" s="123">
        <v>57.157192307692313</v>
      </c>
      <c r="AI61" s="123">
        <v>133.72823076923078</v>
      </c>
      <c r="AJ61" s="123">
        <v>115.6573245240092</v>
      </c>
      <c r="AK61" s="123">
        <v>70.489346153846142</v>
      </c>
      <c r="AL61" s="123">
        <v>46.478923076923081</v>
      </c>
      <c r="AM61" s="122">
        <v>2347.0432093271452</v>
      </c>
      <c r="AN61" s="138">
        <v>1802.3732127395519</v>
      </c>
      <c r="AO61" s="139">
        <v>52.928442661904484</v>
      </c>
      <c r="AP61" s="140">
        <v>101.11471016588936</v>
      </c>
      <c r="AQ61" s="140">
        <v>113.90680543184959</v>
      </c>
      <c r="AR61" s="139">
        <v>57.283026875848627</v>
      </c>
      <c r="AS61" s="141">
        <v>42.6954669106795</v>
      </c>
      <c r="AT61" s="122">
        <v>2170.3016647857235</v>
      </c>
      <c r="AU61" s="136">
        <v>3299.6631030996</v>
      </c>
      <c r="AV61" s="142">
        <v>0.96</v>
      </c>
      <c r="AW61" s="143">
        <v>0</v>
      </c>
      <c r="AX61" s="213">
        <v>2.6276283368689475</v>
      </c>
      <c r="AY61" s="214">
        <v>0.34599369706673627</v>
      </c>
      <c r="AZ61" s="214">
        <v>-7.3256926185722937E-2</v>
      </c>
      <c r="BA61" s="214">
        <v>8.5320470284760919E-2</v>
      </c>
      <c r="BB61" s="203">
        <v>1.1521236844298488</v>
      </c>
      <c r="BC61" s="139">
        <v>249</v>
      </c>
      <c r="BD61" s="204">
        <v>0.9</v>
      </c>
      <c r="BE61" s="139">
        <v>18854.510251737367</v>
      </c>
      <c r="BF61" s="139">
        <v>11000</v>
      </c>
      <c r="BG61" s="205">
        <v>0.65</v>
      </c>
      <c r="BH61" s="205">
        <v>0.65</v>
      </c>
      <c r="BI61" s="204">
        <v>0.2</v>
      </c>
      <c r="BJ61" s="142">
        <v>0.6</v>
      </c>
      <c r="BK61" s="205">
        <v>0.2</v>
      </c>
      <c r="BL61" s="170"/>
    </row>
    <row r="62" spans="1:64" x14ac:dyDescent="0.2">
      <c r="A62" s="91">
        <v>66</v>
      </c>
      <c r="B62" s="132" t="s">
        <v>73</v>
      </c>
      <c r="C62" s="155">
        <v>4915600</v>
      </c>
      <c r="D62" s="155">
        <v>2709500</v>
      </c>
      <c r="E62" s="155">
        <v>690300</v>
      </c>
      <c r="F62" s="155">
        <v>250600</v>
      </c>
      <c r="G62" s="97"/>
      <c r="H62" s="97"/>
      <c r="I62" s="164">
        <v>0</v>
      </c>
      <c r="J62" s="164"/>
      <c r="K62" s="165">
        <v>0</v>
      </c>
      <c r="L62" s="166">
        <v>1.45</v>
      </c>
      <c r="M62" s="118">
        <v>1.45</v>
      </c>
      <c r="N62" s="133">
        <v>4000</v>
      </c>
      <c r="O62" s="133">
        <v>3997</v>
      </c>
      <c r="P62" s="167">
        <v>2958.2659999999996</v>
      </c>
      <c r="Q62" s="133">
        <v>1412</v>
      </c>
      <c r="R62" s="168">
        <v>6639.1746927110999</v>
      </c>
      <c r="S62" s="169">
        <v>4900.1520099999998</v>
      </c>
      <c r="T62" s="135">
        <v>489</v>
      </c>
      <c r="U62" s="97">
        <v>21</v>
      </c>
      <c r="V62" s="139">
        <v>1.05</v>
      </c>
      <c r="W62" s="136">
        <v>395048.85</v>
      </c>
      <c r="X62" s="123">
        <v>866084.54</v>
      </c>
      <c r="Y62" s="137">
        <v>508526.35</v>
      </c>
      <c r="Z62" s="123">
        <v>1607.6925316657771</v>
      </c>
      <c r="AA62" s="123">
        <v>34.905250000000002</v>
      </c>
      <c r="AB62" s="123">
        <v>48.616500000000002</v>
      </c>
      <c r="AC62" s="123">
        <v>112.99578530752999</v>
      </c>
      <c r="AD62" s="123">
        <v>46.463137499999995</v>
      </c>
      <c r="AE62" s="123">
        <v>34.325249999999997</v>
      </c>
      <c r="AF62" s="122">
        <v>1884.9984544733072</v>
      </c>
      <c r="AG62" s="123">
        <v>1694.6606975923921</v>
      </c>
      <c r="AH62" s="123">
        <v>33.449587190392798</v>
      </c>
      <c r="AI62" s="123">
        <v>47.0270202651989</v>
      </c>
      <c r="AJ62" s="123">
        <v>115.49881014796311</v>
      </c>
      <c r="AK62" s="123">
        <v>63.670302727045289</v>
      </c>
      <c r="AL62" s="123">
        <v>38.263447585689264</v>
      </c>
      <c r="AM62" s="122">
        <v>1992.5698655086812</v>
      </c>
      <c r="AN62" s="138">
        <v>1651.1766146290847</v>
      </c>
      <c r="AO62" s="139">
        <v>34.1774185951964</v>
      </c>
      <c r="AP62" s="140">
        <v>47.821760132599451</v>
      </c>
      <c r="AQ62" s="140">
        <v>114.24729772774654</v>
      </c>
      <c r="AR62" s="139">
        <v>55.066720113522642</v>
      </c>
      <c r="AS62" s="141">
        <v>36.29434879284463</v>
      </c>
      <c r="AT62" s="122">
        <v>1938.7841599909943</v>
      </c>
      <c r="AU62" s="136">
        <v>3299.6631030996</v>
      </c>
      <c r="AV62" s="142">
        <v>0.96</v>
      </c>
      <c r="AW62" s="143">
        <v>0</v>
      </c>
      <c r="AX62" s="213">
        <v>2.9428262775325513</v>
      </c>
      <c r="AY62" s="214">
        <v>0.21450546327938863</v>
      </c>
      <c r="AZ62" s="214">
        <v>0.20497885078328726</v>
      </c>
      <c r="BA62" s="214">
        <v>0.12280421334566337</v>
      </c>
      <c r="BB62" s="203">
        <v>1.1521236844298488</v>
      </c>
      <c r="BC62" s="139">
        <v>249</v>
      </c>
      <c r="BD62" s="204">
        <v>0.9</v>
      </c>
      <c r="BE62" s="139">
        <v>18854.510251737367</v>
      </c>
      <c r="BF62" s="139">
        <v>11000</v>
      </c>
      <c r="BG62" s="205">
        <v>0.65</v>
      </c>
      <c r="BH62" s="205">
        <v>0.65</v>
      </c>
      <c r="BI62" s="204">
        <v>0.2</v>
      </c>
      <c r="BJ62" s="142">
        <v>0.6</v>
      </c>
      <c r="BK62" s="205">
        <v>0.2</v>
      </c>
      <c r="BL62" s="170"/>
    </row>
    <row r="63" spans="1:64" x14ac:dyDescent="0.2">
      <c r="A63" s="91">
        <v>67</v>
      </c>
      <c r="B63" s="132" t="s">
        <v>74</v>
      </c>
      <c r="C63" s="155">
        <v>1077000</v>
      </c>
      <c r="D63" s="155">
        <v>1384900</v>
      </c>
      <c r="E63" s="155">
        <v>332100</v>
      </c>
      <c r="F63" s="155">
        <v>25600</v>
      </c>
      <c r="G63" s="97"/>
      <c r="H63" s="97"/>
      <c r="I63" s="164">
        <v>0</v>
      </c>
      <c r="J63" s="164"/>
      <c r="K63" s="165">
        <v>0</v>
      </c>
      <c r="L63" s="166">
        <v>1.48</v>
      </c>
      <c r="M63" s="118">
        <v>1.48</v>
      </c>
      <c r="N63" s="133">
        <v>907</v>
      </c>
      <c r="O63" s="133">
        <v>927</v>
      </c>
      <c r="P63" s="167">
        <v>1281.5839999999996</v>
      </c>
      <c r="Q63" s="133">
        <v>849</v>
      </c>
      <c r="R63" s="168">
        <v>2365.2551564966402</v>
      </c>
      <c r="S63" s="169">
        <v>2018.86807</v>
      </c>
      <c r="T63" s="135">
        <v>129</v>
      </c>
      <c r="U63" s="97">
        <v>3</v>
      </c>
      <c r="V63" s="139">
        <v>1.02</v>
      </c>
      <c r="W63" s="136">
        <v>16366.2</v>
      </c>
      <c r="X63" s="123">
        <v>230144.90000000002</v>
      </c>
      <c r="Y63" s="137">
        <v>71357.350000000006</v>
      </c>
      <c r="Z63" s="123">
        <v>1639.0141858179343</v>
      </c>
      <c r="AA63" s="123">
        <v>14.230429988974642</v>
      </c>
      <c r="AB63" s="123">
        <v>22.23263506063947</v>
      </c>
      <c r="AC63" s="123">
        <v>134.37178365898785</v>
      </c>
      <c r="AD63" s="123">
        <v>39.003914002205072</v>
      </c>
      <c r="AE63" s="123">
        <v>18.979051819184125</v>
      </c>
      <c r="AF63" s="122">
        <v>1867.8320003479255</v>
      </c>
      <c r="AG63" s="123">
        <v>1706.7335205467409</v>
      </c>
      <c r="AH63" s="123">
        <v>18.539374325782092</v>
      </c>
      <c r="AI63" s="123">
        <v>41.603020496224381</v>
      </c>
      <c r="AJ63" s="123">
        <v>136.55968885744826</v>
      </c>
      <c r="AK63" s="123">
        <v>76.199784250269687</v>
      </c>
      <c r="AL63" s="123">
        <v>113.07766990291262</v>
      </c>
      <c r="AM63" s="122">
        <v>2092.7130583793778</v>
      </c>
      <c r="AN63" s="138">
        <v>1672.8738531823376</v>
      </c>
      <c r="AO63" s="139">
        <v>16.384902157378367</v>
      </c>
      <c r="AP63" s="140">
        <v>31.917827778431928</v>
      </c>
      <c r="AQ63" s="140">
        <v>135.46573625821804</v>
      </c>
      <c r="AR63" s="139">
        <v>57.601849126237383</v>
      </c>
      <c r="AS63" s="141">
        <v>66.02836086104837</v>
      </c>
      <c r="AT63" s="122">
        <v>1980.2725293636515</v>
      </c>
      <c r="AU63" s="136">
        <v>3299.6631030996</v>
      </c>
      <c r="AV63" s="142">
        <v>0.96</v>
      </c>
      <c r="AW63" s="143">
        <v>0</v>
      </c>
      <c r="AX63" s="213">
        <v>6.7880859369651869</v>
      </c>
      <c r="AY63" s="214">
        <v>0.60265661747244692</v>
      </c>
      <c r="AZ63" s="214">
        <v>2.5866630078025057E-2</v>
      </c>
      <c r="BA63" s="214">
        <v>0.26390605565446507</v>
      </c>
      <c r="BB63" s="203">
        <v>1.1521236844298488</v>
      </c>
      <c r="BC63" s="139">
        <v>249</v>
      </c>
      <c r="BD63" s="204">
        <v>0.9</v>
      </c>
      <c r="BE63" s="139">
        <v>18854.510251737367</v>
      </c>
      <c r="BF63" s="139">
        <v>11000</v>
      </c>
      <c r="BG63" s="205">
        <v>0.65</v>
      </c>
      <c r="BH63" s="205">
        <v>0.65</v>
      </c>
      <c r="BI63" s="204">
        <v>0.2</v>
      </c>
      <c r="BJ63" s="142">
        <v>0.6</v>
      </c>
      <c r="BK63" s="205">
        <v>0.2</v>
      </c>
      <c r="BL63" s="170"/>
    </row>
    <row r="64" spans="1:64" x14ac:dyDescent="0.2">
      <c r="A64" s="91">
        <v>70</v>
      </c>
      <c r="B64" s="132" t="s">
        <v>75</v>
      </c>
      <c r="C64" s="155">
        <v>2736600</v>
      </c>
      <c r="D64" s="155">
        <v>931200</v>
      </c>
      <c r="E64" s="155">
        <v>542000</v>
      </c>
      <c r="F64" s="155">
        <v>125500</v>
      </c>
      <c r="G64" s="97"/>
      <c r="H64" s="97"/>
      <c r="I64" s="164">
        <v>0</v>
      </c>
      <c r="J64" s="164"/>
      <c r="K64" s="165">
        <v>0</v>
      </c>
      <c r="L64" s="166">
        <v>1.4</v>
      </c>
      <c r="M64" s="118">
        <v>1.4</v>
      </c>
      <c r="N64" s="133">
        <v>4603</v>
      </c>
      <c r="O64" s="133">
        <v>4734</v>
      </c>
      <c r="P64" s="167">
        <v>2046.2990000000002</v>
      </c>
      <c r="Q64" s="133">
        <v>30</v>
      </c>
      <c r="R64" s="168">
        <v>0</v>
      </c>
      <c r="S64" s="169">
        <v>2183.38474</v>
      </c>
      <c r="T64" s="135">
        <v>567</v>
      </c>
      <c r="U64" s="97">
        <v>19</v>
      </c>
      <c r="V64" s="139">
        <v>0.97</v>
      </c>
      <c r="W64" s="136">
        <v>367214.75</v>
      </c>
      <c r="X64" s="123">
        <v>655410.95000000019</v>
      </c>
      <c r="Y64" s="137">
        <v>635765.24999999988</v>
      </c>
      <c r="Z64" s="123">
        <v>2069.5062398828991</v>
      </c>
      <c r="AA64" s="123">
        <v>44.50782098631327</v>
      </c>
      <c r="AB64" s="123">
        <v>164.16402346295894</v>
      </c>
      <c r="AC64" s="123">
        <v>118.46566278779036</v>
      </c>
      <c r="AD64" s="123">
        <v>76.798468390180318</v>
      </c>
      <c r="AE64" s="123">
        <v>82.668346730393225</v>
      </c>
      <c r="AF64" s="122">
        <v>2556.1105622405353</v>
      </c>
      <c r="AG64" s="123">
        <v>2076.7226262011604</v>
      </c>
      <c r="AH64" s="123">
        <v>41.266275876637089</v>
      </c>
      <c r="AI64" s="123">
        <v>169.80696028728349</v>
      </c>
      <c r="AJ64" s="123">
        <v>123.05591305116079</v>
      </c>
      <c r="AK64" s="123">
        <v>82.56907477820026</v>
      </c>
      <c r="AL64" s="123">
        <v>96.791561047739748</v>
      </c>
      <c r="AM64" s="122">
        <v>2590.2124112421811</v>
      </c>
      <c r="AN64" s="138">
        <v>2073.1144330420298</v>
      </c>
      <c r="AO64" s="139">
        <v>42.887048431475179</v>
      </c>
      <c r="AP64" s="140">
        <v>166.98549187512123</v>
      </c>
      <c r="AQ64" s="140">
        <v>120.76078791947558</v>
      </c>
      <c r="AR64" s="139">
        <v>79.683771584190282</v>
      </c>
      <c r="AS64" s="141">
        <v>89.729953889066479</v>
      </c>
      <c r="AT64" s="122">
        <v>2573.1614867413587</v>
      </c>
      <c r="AU64" s="136">
        <v>3299.6631030996</v>
      </c>
      <c r="AV64" s="142">
        <v>0.96</v>
      </c>
      <c r="AW64" s="143">
        <v>0</v>
      </c>
      <c r="AX64" s="213">
        <v>1.0999702061877048</v>
      </c>
      <c r="AY64" s="214">
        <v>-2.4851431140431868E-2</v>
      </c>
      <c r="AZ64" s="214">
        <v>-7.3256926185722937E-2</v>
      </c>
      <c r="BA64" s="214">
        <v>9.4440997523044887E-3</v>
      </c>
      <c r="BB64" s="203">
        <v>1.1521236844298488</v>
      </c>
      <c r="BC64" s="139">
        <v>249</v>
      </c>
      <c r="BD64" s="204">
        <v>0.9</v>
      </c>
      <c r="BE64" s="139">
        <v>18854.510251737367</v>
      </c>
      <c r="BF64" s="139">
        <v>11000</v>
      </c>
      <c r="BG64" s="205">
        <v>0.65</v>
      </c>
      <c r="BH64" s="205">
        <v>0.65</v>
      </c>
      <c r="BI64" s="204">
        <v>0.2</v>
      </c>
      <c r="BJ64" s="142">
        <v>0.6</v>
      </c>
      <c r="BK64" s="205">
        <v>0.2</v>
      </c>
      <c r="BL64" s="170"/>
    </row>
    <row r="65" spans="1:64" x14ac:dyDescent="0.2">
      <c r="A65" s="91">
        <v>71</v>
      </c>
      <c r="B65" s="132" t="s">
        <v>76</v>
      </c>
      <c r="C65" s="155">
        <v>1108900</v>
      </c>
      <c r="D65" s="155">
        <v>678800</v>
      </c>
      <c r="E65" s="155">
        <v>377400</v>
      </c>
      <c r="F65" s="155">
        <v>0</v>
      </c>
      <c r="G65" s="97"/>
      <c r="H65" s="97"/>
      <c r="I65" s="164">
        <v>0</v>
      </c>
      <c r="J65" s="164"/>
      <c r="K65" s="165">
        <v>0</v>
      </c>
      <c r="L65" s="166">
        <v>1.45</v>
      </c>
      <c r="M65" s="118">
        <v>1.45</v>
      </c>
      <c r="N65" s="133">
        <v>1439</v>
      </c>
      <c r="O65" s="133">
        <v>1451</v>
      </c>
      <c r="P65" s="167">
        <v>925.45300000000009</v>
      </c>
      <c r="Q65" s="133">
        <v>51</v>
      </c>
      <c r="R65" s="168">
        <v>1621.8707356944899</v>
      </c>
      <c r="S65" s="169">
        <v>1409.60428</v>
      </c>
      <c r="T65" s="135">
        <v>191</v>
      </c>
      <c r="U65" s="97">
        <v>6</v>
      </c>
      <c r="V65" s="139">
        <v>0.97</v>
      </c>
      <c r="W65" s="136">
        <v>45957.05</v>
      </c>
      <c r="X65" s="123">
        <v>163441.4</v>
      </c>
      <c r="Y65" s="137">
        <v>172458.35</v>
      </c>
      <c r="Z65" s="123">
        <v>1800.7904227280021</v>
      </c>
      <c r="AA65" s="123">
        <v>87.3260597637248</v>
      </c>
      <c r="AB65" s="123">
        <v>118.23502432244614</v>
      </c>
      <c r="AC65" s="123">
        <v>123.75661836123308</v>
      </c>
      <c r="AD65" s="123">
        <v>101.80875608061153</v>
      </c>
      <c r="AE65" s="123">
        <v>127.87970813064628</v>
      </c>
      <c r="AF65" s="122">
        <v>2359.796589386664</v>
      </c>
      <c r="AG65" s="123">
        <v>1936.3405663128692</v>
      </c>
      <c r="AH65" s="123">
        <v>62.810578911095803</v>
      </c>
      <c r="AI65" s="123">
        <v>188.68263266712611</v>
      </c>
      <c r="AJ65" s="123">
        <v>127.32771097053052</v>
      </c>
      <c r="AK65" s="123">
        <v>107.22332873880082</v>
      </c>
      <c r="AL65" s="123">
        <v>11.989903514817366</v>
      </c>
      <c r="AM65" s="122">
        <v>2434.3747211152395</v>
      </c>
      <c r="AN65" s="138">
        <v>1868.5654945204355</v>
      </c>
      <c r="AO65" s="139">
        <v>75.068319337410301</v>
      </c>
      <c r="AP65" s="140">
        <v>153.45882849478613</v>
      </c>
      <c r="AQ65" s="140">
        <v>125.5421646658818</v>
      </c>
      <c r="AR65" s="139">
        <v>104.51604240970617</v>
      </c>
      <c r="AS65" s="141">
        <v>69.934805822731818</v>
      </c>
      <c r="AT65" s="122">
        <v>2397.0856552509522</v>
      </c>
      <c r="AU65" s="136">
        <v>3299.6631030996</v>
      </c>
      <c r="AV65" s="142">
        <v>0.96</v>
      </c>
      <c r="AW65" s="143">
        <v>0</v>
      </c>
      <c r="AX65" s="213">
        <v>2.3303601569598942</v>
      </c>
      <c r="AY65" s="214">
        <v>-4.9737495755948396E-3</v>
      </c>
      <c r="AZ65" s="214">
        <v>-5.2872635129391273E-3</v>
      </c>
      <c r="BA65" s="214">
        <v>8.5080965321228469E-2</v>
      </c>
      <c r="BB65" s="203">
        <v>1.1521236844298488</v>
      </c>
      <c r="BC65" s="139">
        <v>249</v>
      </c>
      <c r="BD65" s="204">
        <v>0.9</v>
      </c>
      <c r="BE65" s="139">
        <v>18854.510251737367</v>
      </c>
      <c r="BF65" s="139">
        <v>11000</v>
      </c>
      <c r="BG65" s="205">
        <v>0.65</v>
      </c>
      <c r="BH65" s="205">
        <v>0.65</v>
      </c>
      <c r="BI65" s="204">
        <v>0.2</v>
      </c>
      <c r="BJ65" s="142">
        <v>0.6</v>
      </c>
      <c r="BK65" s="205">
        <v>0.2</v>
      </c>
      <c r="BL65" s="170"/>
    </row>
    <row r="66" spans="1:64" x14ac:dyDescent="0.2">
      <c r="A66" s="91">
        <v>72</v>
      </c>
      <c r="B66" s="132" t="s">
        <v>77</v>
      </c>
      <c r="C66" s="155">
        <v>2962500</v>
      </c>
      <c r="D66" s="155">
        <v>1954800</v>
      </c>
      <c r="E66" s="155">
        <v>1072900</v>
      </c>
      <c r="F66" s="155">
        <v>0</v>
      </c>
      <c r="G66" s="97"/>
      <c r="H66" s="97"/>
      <c r="I66" s="164">
        <v>0</v>
      </c>
      <c r="J66" s="164"/>
      <c r="K66" s="165">
        <v>0</v>
      </c>
      <c r="L66" s="166">
        <v>1.45</v>
      </c>
      <c r="M66" s="118">
        <v>1.45</v>
      </c>
      <c r="N66" s="133">
        <v>2827</v>
      </c>
      <c r="O66" s="133">
        <v>2802</v>
      </c>
      <c r="P66" s="167">
        <v>2287.6649999999995</v>
      </c>
      <c r="Q66" s="133">
        <v>330</v>
      </c>
      <c r="R66" s="168">
        <v>0</v>
      </c>
      <c r="S66" s="169">
        <v>5051.0874800000001</v>
      </c>
      <c r="T66" s="135">
        <v>402</v>
      </c>
      <c r="U66" s="97">
        <v>2</v>
      </c>
      <c r="V66" s="139">
        <v>0.93</v>
      </c>
      <c r="W66" s="136">
        <v>139649.25</v>
      </c>
      <c r="X66" s="123">
        <v>212545.64999999997</v>
      </c>
      <c r="Y66" s="137">
        <v>327199.49999999988</v>
      </c>
      <c r="Z66" s="123">
        <v>1682.5001713451882</v>
      </c>
      <c r="AA66" s="123">
        <v>28.67911213300318</v>
      </c>
      <c r="AB66" s="123">
        <v>47.077308100459859</v>
      </c>
      <c r="AC66" s="123">
        <v>102.5104785914218</v>
      </c>
      <c r="AD66" s="123">
        <v>31.410417403608065</v>
      </c>
      <c r="AE66" s="123">
        <v>62.266130173328619</v>
      </c>
      <c r="AF66" s="122">
        <v>1954.4436177470097</v>
      </c>
      <c r="AG66" s="123">
        <v>2006.6520632527074</v>
      </c>
      <c r="AH66" s="123">
        <v>26.977498215560313</v>
      </c>
      <c r="AI66" s="123">
        <v>60.690952890792296</v>
      </c>
      <c r="AJ66" s="123">
        <v>106.10537685024724</v>
      </c>
      <c r="AK66" s="123">
        <v>66.181174161313351</v>
      </c>
      <c r="AL66" s="123">
        <v>18.462241256245541</v>
      </c>
      <c r="AM66" s="122">
        <v>2285.0693066268664</v>
      </c>
      <c r="AN66" s="138">
        <v>1844.5761172989478</v>
      </c>
      <c r="AO66" s="139">
        <v>27.828305174281745</v>
      </c>
      <c r="AP66" s="140">
        <v>53.884130495626081</v>
      </c>
      <c r="AQ66" s="140">
        <v>104.30792772083453</v>
      </c>
      <c r="AR66" s="139">
        <v>48.795795782460708</v>
      </c>
      <c r="AS66" s="141">
        <v>40.364185714787084</v>
      </c>
      <c r="AT66" s="122">
        <v>2119.7564621869378</v>
      </c>
      <c r="AU66" s="136">
        <v>3299.6631030996</v>
      </c>
      <c r="AV66" s="142">
        <v>0.96</v>
      </c>
      <c r="AW66" s="143">
        <v>0</v>
      </c>
      <c r="AX66" s="213">
        <v>3.3996614638416731</v>
      </c>
      <c r="AY66" s="214">
        <v>5.2031845530390176E-2</v>
      </c>
      <c r="AZ66" s="214">
        <v>-7.3256926185722937E-2</v>
      </c>
      <c r="BA66" s="214">
        <v>0.20829223197826213</v>
      </c>
      <c r="BB66" s="203">
        <v>1.1521236844298488</v>
      </c>
      <c r="BC66" s="139">
        <v>249</v>
      </c>
      <c r="BD66" s="204">
        <v>0.9</v>
      </c>
      <c r="BE66" s="139">
        <v>18854.510251737367</v>
      </c>
      <c r="BF66" s="139">
        <v>11000</v>
      </c>
      <c r="BG66" s="205">
        <v>0.65</v>
      </c>
      <c r="BH66" s="205">
        <v>0.65</v>
      </c>
      <c r="BI66" s="204">
        <v>0.2</v>
      </c>
      <c r="BJ66" s="142">
        <v>0.6</v>
      </c>
      <c r="BK66" s="205">
        <v>0.2</v>
      </c>
      <c r="BL66" s="170"/>
    </row>
    <row r="67" spans="1:64" x14ac:dyDescent="0.2">
      <c r="A67" s="91">
        <v>73</v>
      </c>
      <c r="B67" s="132" t="s">
        <v>78</v>
      </c>
      <c r="C67" s="155">
        <v>4309300</v>
      </c>
      <c r="D67" s="155">
        <v>2267400</v>
      </c>
      <c r="E67" s="155">
        <v>2157800</v>
      </c>
      <c r="F67" s="155">
        <v>332200</v>
      </c>
      <c r="G67" s="97"/>
      <c r="H67" s="97"/>
      <c r="I67" s="164">
        <v>0</v>
      </c>
      <c r="J67" s="164"/>
      <c r="K67" s="165">
        <v>0</v>
      </c>
      <c r="L67" s="166">
        <v>1.45</v>
      </c>
      <c r="M67" s="118">
        <v>1.42</v>
      </c>
      <c r="N67" s="133">
        <v>8721</v>
      </c>
      <c r="O67" s="133">
        <v>8874</v>
      </c>
      <c r="P67" s="167">
        <v>4005.1391999999996</v>
      </c>
      <c r="Q67" s="133">
        <v>137</v>
      </c>
      <c r="R67" s="168">
        <v>4274.7693822750398</v>
      </c>
      <c r="S67" s="169">
        <v>4253.9728400000004</v>
      </c>
      <c r="T67" s="135">
        <v>1158</v>
      </c>
      <c r="U67" s="97">
        <v>27</v>
      </c>
      <c r="V67" s="139">
        <v>0.99</v>
      </c>
      <c r="W67" s="136">
        <v>178338.90000000002</v>
      </c>
      <c r="X67" s="123">
        <v>2100482.2499999995</v>
      </c>
      <c r="Y67" s="137">
        <v>1206034.2000000007</v>
      </c>
      <c r="Z67" s="123">
        <v>1892.8495683261626</v>
      </c>
      <c r="AA67" s="123">
        <v>99.706851278523118</v>
      </c>
      <c r="AB67" s="123">
        <v>222.97036463708289</v>
      </c>
      <c r="AC67" s="123">
        <v>143.03698936434202</v>
      </c>
      <c r="AD67" s="123">
        <v>155.85284944387112</v>
      </c>
      <c r="AE67" s="123">
        <v>168.25065359477122</v>
      </c>
      <c r="AF67" s="122">
        <v>2682.6672766447532</v>
      </c>
      <c r="AG67" s="123">
        <v>1968.0439734762751</v>
      </c>
      <c r="AH67" s="123">
        <v>128.59667568176698</v>
      </c>
      <c r="AI67" s="123">
        <v>243.88416723011045</v>
      </c>
      <c r="AJ67" s="123">
        <v>146.56785606218364</v>
      </c>
      <c r="AK67" s="123">
        <v>120.79574599954924</v>
      </c>
      <c r="AL67" s="123">
        <v>56.533654496281272</v>
      </c>
      <c r="AM67" s="122">
        <v>2664.4220729461663</v>
      </c>
      <c r="AN67" s="138">
        <v>1930.4467709012188</v>
      </c>
      <c r="AO67" s="139">
        <v>114.15176348014505</v>
      </c>
      <c r="AP67" s="140">
        <v>233.42726593359669</v>
      </c>
      <c r="AQ67" s="140">
        <v>144.80242271326284</v>
      </c>
      <c r="AR67" s="139">
        <v>138.3242977217102</v>
      </c>
      <c r="AS67" s="141">
        <v>112.39215404552624</v>
      </c>
      <c r="AT67" s="122">
        <v>2673.5446747954597</v>
      </c>
      <c r="AU67" s="136">
        <v>3299.6631030996</v>
      </c>
      <c r="AV67" s="142">
        <v>0.96</v>
      </c>
      <c r="AW67" s="143">
        <v>0</v>
      </c>
      <c r="AX67" s="213">
        <v>1.2141713572233646</v>
      </c>
      <c r="AY67" s="214">
        <v>-1.8572197988908169E-2</v>
      </c>
      <c r="AZ67" s="214">
        <v>0.10589091002747719</v>
      </c>
      <c r="BA67" s="214">
        <v>1.2136212972882294E-2</v>
      </c>
      <c r="BB67" s="203">
        <v>1.1521236844298488</v>
      </c>
      <c r="BC67" s="139">
        <v>249</v>
      </c>
      <c r="BD67" s="204">
        <v>0.9</v>
      </c>
      <c r="BE67" s="139">
        <v>18854.510251737367</v>
      </c>
      <c r="BF67" s="139">
        <v>11000</v>
      </c>
      <c r="BG67" s="205">
        <v>0.65</v>
      </c>
      <c r="BH67" s="205">
        <v>0.65</v>
      </c>
      <c r="BI67" s="204">
        <v>0.2</v>
      </c>
      <c r="BJ67" s="142">
        <v>0.6</v>
      </c>
      <c r="BK67" s="205">
        <v>0.2</v>
      </c>
      <c r="BL67" s="170"/>
    </row>
    <row r="68" spans="1:64" x14ac:dyDescent="0.2">
      <c r="A68" s="91">
        <v>76</v>
      </c>
      <c r="B68" s="132" t="s">
        <v>79</v>
      </c>
      <c r="C68" s="155">
        <v>1038000</v>
      </c>
      <c r="D68" s="155">
        <v>0</v>
      </c>
      <c r="E68" s="155">
        <v>1269300</v>
      </c>
      <c r="F68" s="155">
        <v>0</v>
      </c>
      <c r="G68" s="97"/>
      <c r="H68" s="97"/>
      <c r="I68" s="164">
        <v>0</v>
      </c>
      <c r="J68" s="164"/>
      <c r="K68" s="165">
        <v>0</v>
      </c>
      <c r="L68" s="166">
        <v>1.45</v>
      </c>
      <c r="M68" s="118">
        <v>1.45</v>
      </c>
      <c r="N68" s="133">
        <v>3762</v>
      </c>
      <c r="O68" s="133">
        <v>3767</v>
      </c>
      <c r="P68" s="167">
        <v>999.16499999999996</v>
      </c>
      <c r="Q68" s="133">
        <v>0</v>
      </c>
      <c r="R68" s="168">
        <v>0</v>
      </c>
      <c r="S68" s="169">
        <v>1099.4986199999998</v>
      </c>
      <c r="T68" s="135">
        <v>531</v>
      </c>
      <c r="U68" s="97">
        <v>9</v>
      </c>
      <c r="V68" s="139">
        <v>0.87</v>
      </c>
      <c r="W68" s="136">
        <v>118800</v>
      </c>
      <c r="X68" s="123">
        <v>276108.53999999998</v>
      </c>
      <c r="Y68" s="137">
        <v>273879.05000000005</v>
      </c>
      <c r="Z68" s="123">
        <v>2226.1451251134449</v>
      </c>
      <c r="AA68" s="123">
        <v>69.425704412546523</v>
      </c>
      <c r="AB68" s="123">
        <v>267.15047846889951</v>
      </c>
      <c r="AC68" s="123">
        <v>175.39289682790809</v>
      </c>
      <c r="AD68" s="123">
        <v>98.279399255715035</v>
      </c>
      <c r="AE68" s="123">
        <v>96.727538543328023</v>
      </c>
      <c r="AF68" s="122">
        <v>2933.1211426218424</v>
      </c>
      <c r="AG68" s="123">
        <v>2250.3830692305023</v>
      </c>
      <c r="AH68" s="123">
        <v>66.115240244226172</v>
      </c>
      <c r="AI68" s="123">
        <v>175.99755773825328</v>
      </c>
      <c r="AJ68" s="123">
        <v>181.21711246840221</v>
      </c>
      <c r="AK68" s="123">
        <v>56.810605256172018</v>
      </c>
      <c r="AL68" s="123">
        <v>119.88886381736131</v>
      </c>
      <c r="AM68" s="122">
        <v>2850.4124487549175</v>
      </c>
      <c r="AN68" s="138">
        <v>2238.2640971719738</v>
      </c>
      <c r="AO68" s="139">
        <v>67.770472328386347</v>
      </c>
      <c r="AP68" s="140">
        <v>221.57401810357641</v>
      </c>
      <c r="AQ68" s="140">
        <v>178.30500464815515</v>
      </c>
      <c r="AR68" s="139">
        <v>77.54500225594353</v>
      </c>
      <c r="AS68" s="141">
        <v>108.30820118034467</v>
      </c>
      <c r="AT68" s="122">
        <v>2891.7667956883797</v>
      </c>
      <c r="AU68" s="136">
        <v>3299.6631030996</v>
      </c>
      <c r="AV68" s="142">
        <v>0.96</v>
      </c>
      <c r="AW68" s="143">
        <v>0</v>
      </c>
      <c r="AX68" s="213">
        <v>0.1002384418339034</v>
      </c>
      <c r="AY68" s="214">
        <v>-2.9223629168351237E-2</v>
      </c>
      <c r="AZ68" s="214">
        <v>-7.3256926185722937E-2</v>
      </c>
      <c r="BA68" s="214">
        <v>-1.5657199348587145E-2</v>
      </c>
      <c r="BB68" s="203">
        <v>1.1521236844298488</v>
      </c>
      <c r="BC68" s="139">
        <v>249</v>
      </c>
      <c r="BD68" s="204">
        <v>0.9</v>
      </c>
      <c r="BE68" s="139">
        <v>18854.510251737367</v>
      </c>
      <c r="BF68" s="139">
        <v>11000</v>
      </c>
      <c r="BG68" s="205">
        <v>0.65</v>
      </c>
      <c r="BH68" s="205">
        <v>0.65</v>
      </c>
      <c r="BI68" s="204">
        <v>0.2</v>
      </c>
      <c r="BJ68" s="142">
        <v>0.6</v>
      </c>
      <c r="BK68" s="205">
        <v>0.2</v>
      </c>
      <c r="BL68" s="170"/>
    </row>
    <row r="69" spans="1:64" x14ac:dyDescent="0.2">
      <c r="A69" s="91">
        <v>77</v>
      </c>
      <c r="B69" s="132" t="s">
        <v>80</v>
      </c>
      <c r="C69" s="155">
        <v>2369700</v>
      </c>
      <c r="D69" s="155">
        <v>0</v>
      </c>
      <c r="E69" s="155">
        <v>745100</v>
      </c>
      <c r="F69" s="155">
        <v>0</v>
      </c>
      <c r="G69" s="97"/>
      <c r="H69" s="97"/>
      <c r="I69" s="164">
        <v>0</v>
      </c>
      <c r="J69" s="164"/>
      <c r="K69" s="165">
        <v>0</v>
      </c>
      <c r="L69" s="166">
        <v>1.35</v>
      </c>
      <c r="M69" s="118">
        <v>1.32</v>
      </c>
      <c r="N69" s="133">
        <v>6265</v>
      </c>
      <c r="O69" s="133">
        <v>6349</v>
      </c>
      <c r="P69" s="167">
        <v>1268.3006</v>
      </c>
      <c r="Q69" s="133">
        <v>0</v>
      </c>
      <c r="R69" s="168">
        <v>0</v>
      </c>
      <c r="S69" s="169">
        <v>1407.60195</v>
      </c>
      <c r="T69" s="135">
        <v>768</v>
      </c>
      <c r="U69" s="97">
        <v>23</v>
      </c>
      <c r="V69" s="139">
        <v>0.93</v>
      </c>
      <c r="W69" s="136">
        <v>133101.85</v>
      </c>
      <c r="X69" s="123">
        <v>784577.03</v>
      </c>
      <c r="Y69" s="137">
        <v>724013.34999999986</v>
      </c>
      <c r="Z69" s="123">
        <v>2258.2244667279351</v>
      </c>
      <c r="AA69" s="123">
        <v>77.743399840383091</v>
      </c>
      <c r="AB69" s="123">
        <v>108.76077414205906</v>
      </c>
      <c r="AC69" s="123">
        <v>126.27787631873711</v>
      </c>
      <c r="AD69" s="123">
        <v>94.391205107741428</v>
      </c>
      <c r="AE69" s="123">
        <v>91.970175578611332</v>
      </c>
      <c r="AF69" s="122">
        <v>2757.3678977154673</v>
      </c>
      <c r="AG69" s="123">
        <v>2340.9406774891359</v>
      </c>
      <c r="AH69" s="123">
        <v>75.647125531579775</v>
      </c>
      <c r="AI69" s="123">
        <v>155.31494723578516</v>
      </c>
      <c r="AJ69" s="123">
        <v>137.95974057665339</v>
      </c>
      <c r="AK69" s="123">
        <v>69.600338636005674</v>
      </c>
      <c r="AL69" s="123">
        <v>42.024767679949598</v>
      </c>
      <c r="AM69" s="122">
        <v>2821.4875971491092</v>
      </c>
      <c r="AN69" s="138">
        <v>2299.5825721085357</v>
      </c>
      <c r="AO69" s="139">
        <v>76.695262685981433</v>
      </c>
      <c r="AP69" s="140">
        <v>132.03786068892211</v>
      </c>
      <c r="AQ69" s="140">
        <v>132.11880844769524</v>
      </c>
      <c r="AR69" s="139">
        <v>81.995771871873558</v>
      </c>
      <c r="AS69" s="141">
        <v>66.997471629280469</v>
      </c>
      <c r="AT69" s="122">
        <v>2789.4277474322885</v>
      </c>
      <c r="AU69" s="136">
        <v>3299.6631030996</v>
      </c>
      <c r="AV69" s="142">
        <v>0.96</v>
      </c>
      <c r="AW69" s="143">
        <v>0</v>
      </c>
      <c r="AX69" s="213">
        <v>-0.2917052165963816</v>
      </c>
      <c r="AY69" s="214">
        <v>-2.9223629168351237E-2</v>
      </c>
      <c r="AZ69" s="214">
        <v>-7.3256926185722937E-2</v>
      </c>
      <c r="BA69" s="214">
        <v>-2.605898107693104E-2</v>
      </c>
      <c r="BB69" s="203">
        <v>1.1521236844298488</v>
      </c>
      <c r="BC69" s="139">
        <v>249</v>
      </c>
      <c r="BD69" s="204">
        <v>0.9</v>
      </c>
      <c r="BE69" s="139">
        <v>18854.510251737367</v>
      </c>
      <c r="BF69" s="139">
        <v>11000</v>
      </c>
      <c r="BG69" s="205">
        <v>0.65</v>
      </c>
      <c r="BH69" s="205">
        <v>0.65</v>
      </c>
      <c r="BI69" s="204">
        <v>0.2</v>
      </c>
      <c r="BJ69" s="142">
        <v>0.6</v>
      </c>
      <c r="BK69" s="205">
        <v>0.2</v>
      </c>
      <c r="BL69" s="170"/>
    </row>
    <row r="70" spans="1:64" x14ac:dyDescent="0.2">
      <c r="A70" s="91">
        <v>78</v>
      </c>
      <c r="B70" s="132" t="s">
        <v>81</v>
      </c>
      <c r="C70" s="155">
        <v>5284700</v>
      </c>
      <c r="D70" s="155">
        <v>0</v>
      </c>
      <c r="E70" s="155">
        <v>1036500</v>
      </c>
      <c r="F70" s="155">
        <v>181600</v>
      </c>
      <c r="G70" s="97"/>
      <c r="H70" s="97"/>
      <c r="I70" s="164">
        <v>0</v>
      </c>
      <c r="J70" s="164"/>
      <c r="K70" s="165">
        <v>0</v>
      </c>
      <c r="L70" s="166">
        <v>1.45</v>
      </c>
      <c r="M70" s="118">
        <v>1.45</v>
      </c>
      <c r="N70" s="133">
        <v>12695</v>
      </c>
      <c r="O70" s="133">
        <v>12781</v>
      </c>
      <c r="P70" s="167">
        <v>2378.0929999999998</v>
      </c>
      <c r="Q70" s="133">
        <v>0</v>
      </c>
      <c r="R70" s="168">
        <v>0</v>
      </c>
      <c r="S70" s="169">
        <v>1449.5028100000002</v>
      </c>
      <c r="T70" s="135">
        <v>1499</v>
      </c>
      <c r="U70" s="97">
        <v>42</v>
      </c>
      <c r="V70" s="139">
        <v>0.98</v>
      </c>
      <c r="W70" s="136">
        <v>428438.74999999994</v>
      </c>
      <c r="X70" s="123">
        <v>2728807.51</v>
      </c>
      <c r="Y70" s="137">
        <v>1247388.8</v>
      </c>
      <c r="Z70" s="123">
        <v>2214.9195742370425</v>
      </c>
      <c r="AA70" s="123">
        <v>91.773387160299336</v>
      </c>
      <c r="AB70" s="123">
        <v>184.00068530917682</v>
      </c>
      <c r="AC70" s="123">
        <v>134.21192391997329</v>
      </c>
      <c r="AD70" s="123">
        <v>51.792591571484834</v>
      </c>
      <c r="AE70" s="123">
        <v>65.054336352894836</v>
      </c>
      <c r="AF70" s="122">
        <v>2741.7524985508721</v>
      </c>
      <c r="AG70" s="123">
        <v>2124.5623691873298</v>
      </c>
      <c r="AH70" s="123">
        <v>95.21262029575152</v>
      </c>
      <c r="AI70" s="123">
        <v>230.79827478288084</v>
      </c>
      <c r="AJ70" s="123">
        <v>135.84303250876903</v>
      </c>
      <c r="AK70" s="123">
        <v>78.96307800641577</v>
      </c>
      <c r="AL70" s="123">
        <v>95.661755731163439</v>
      </c>
      <c r="AM70" s="122">
        <v>2761.0411305123102</v>
      </c>
      <c r="AN70" s="138">
        <v>2169.7409717121864</v>
      </c>
      <c r="AO70" s="139">
        <v>93.493003728025428</v>
      </c>
      <c r="AP70" s="140">
        <v>207.39948004602883</v>
      </c>
      <c r="AQ70" s="140">
        <v>135.02747821437117</v>
      </c>
      <c r="AR70" s="139">
        <v>65.37783478895031</v>
      </c>
      <c r="AS70" s="141">
        <v>80.358046042029144</v>
      </c>
      <c r="AT70" s="122">
        <v>2751.3968145315907</v>
      </c>
      <c r="AU70" s="136">
        <v>3299.6631030996</v>
      </c>
      <c r="AV70" s="142">
        <v>0.96</v>
      </c>
      <c r="AW70" s="143">
        <v>0</v>
      </c>
      <c r="AX70" s="213">
        <v>-0.37370694897763068</v>
      </c>
      <c r="AY70" s="214">
        <v>-2.9223629168351237E-2</v>
      </c>
      <c r="AZ70" s="214">
        <v>-7.3256926185722937E-2</v>
      </c>
      <c r="BA70" s="214">
        <v>-4.2111664944393154E-2</v>
      </c>
      <c r="BB70" s="203">
        <v>1.1521236844298488</v>
      </c>
      <c r="BC70" s="139">
        <v>249</v>
      </c>
      <c r="BD70" s="204">
        <v>0.9</v>
      </c>
      <c r="BE70" s="139">
        <v>18854.510251737367</v>
      </c>
      <c r="BF70" s="139">
        <v>11000</v>
      </c>
      <c r="BG70" s="205">
        <v>0.65</v>
      </c>
      <c r="BH70" s="205">
        <v>0.65</v>
      </c>
      <c r="BI70" s="204">
        <v>0.2</v>
      </c>
      <c r="BJ70" s="142">
        <v>0.6</v>
      </c>
      <c r="BK70" s="205">
        <v>0.2</v>
      </c>
      <c r="BL70" s="170"/>
    </row>
    <row r="71" spans="1:64" x14ac:dyDescent="0.2">
      <c r="A71" s="91">
        <v>79</v>
      </c>
      <c r="B71" s="132" t="s">
        <v>82</v>
      </c>
      <c r="C71" s="155">
        <v>5648100</v>
      </c>
      <c r="D71" s="155">
        <v>0</v>
      </c>
      <c r="E71" s="155">
        <v>971800</v>
      </c>
      <c r="F71" s="155">
        <v>0</v>
      </c>
      <c r="G71" s="97"/>
      <c r="H71" s="97"/>
      <c r="I71" s="164">
        <v>0</v>
      </c>
      <c r="J71" s="164"/>
      <c r="K71" s="165">
        <v>0</v>
      </c>
      <c r="L71" s="166">
        <v>1.49</v>
      </c>
      <c r="M71" s="118">
        <v>1.49</v>
      </c>
      <c r="N71" s="133">
        <v>10323</v>
      </c>
      <c r="O71" s="133">
        <v>10368</v>
      </c>
      <c r="P71" s="167">
        <v>1962.8541999999998</v>
      </c>
      <c r="Q71" s="133">
        <v>0</v>
      </c>
      <c r="R71" s="168">
        <v>0</v>
      </c>
      <c r="S71" s="169">
        <v>1146.90093</v>
      </c>
      <c r="T71" s="135">
        <v>1220</v>
      </c>
      <c r="U71" s="97">
        <v>33</v>
      </c>
      <c r="V71" s="139">
        <v>1.02</v>
      </c>
      <c r="W71" s="136">
        <v>94593.25</v>
      </c>
      <c r="X71" s="123">
        <v>1823990.4100000001</v>
      </c>
      <c r="Y71" s="137">
        <v>1240382.4999999998</v>
      </c>
      <c r="Z71" s="123">
        <v>2124.4393216821613</v>
      </c>
      <c r="AA71" s="123">
        <v>65.588351254480287</v>
      </c>
      <c r="AB71" s="123">
        <v>185.73683037876586</v>
      </c>
      <c r="AC71" s="123">
        <v>121.62836536571801</v>
      </c>
      <c r="AD71" s="123">
        <v>58.97796667635378</v>
      </c>
      <c r="AE71" s="123">
        <v>79.881192482805389</v>
      </c>
      <c r="AF71" s="122">
        <v>2636.2520278402844</v>
      </c>
      <c r="AG71" s="123">
        <v>2096.387825925081</v>
      </c>
      <c r="AH71" s="123">
        <v>70.465658757716042</v>
      </c>
      <c r="AI71" s="123">
        <v>184.54861593364197</v>
      </c>
      <c r="AJ71" s="123">
        <v>123.7643647323796</v>
      </c>
      <c r="AK71" s="123">
        <v>69.470698302469131</v>
      </c>
      <c r="AL71" s="123">
        <v>60.198678626543213</v>
      </c>
      <c r="AM71" s="122">
        <v>2604.835842277831</v>
      </c>
      <c r="AN71" s="138">
        <v>2110.4135738036211</v>
      </c>
      <c r="AO71" s="139">
        <v>68.027005006098165</v>
      </c>
      <c r="AP71" s="140">
        <v>185.14272315620391</v>
      </c>
      <c r="AQ71" s="140">
        <v>122.69636504904881</v>
      </c>
      <c r="AR71" s="139">
        <v>64.224332489411452</v>
      </c>
      <c r="AS71" s="141">
        <v>70.039935554674301</v>
      </c>
      <c r="AT71" s="122">
        <v>2620.5439350590577</v>
      </c>
      <c r="AU71" s="136">
        <v>3299.6631030996</v>
      </c>
      <c r="AV71" s="142">
        <v>0.96</v>
      </c>
      <c r="AW71" s="143">
        <v>0</v>
      </c>
      <c r="AX71" s="213">
        <v>-0.35423004047259149</v>
      </c>
      <c r="AY71" s="214">
        <v>-2.9223629168351237E-2</v>
      </c>
      <c r="AZ71" s="214">
        <v>-7.3256926185722937E-2</v>
      </c>
      <c r="BA71" s="214">
        <v>-4.2525449071609989E-2</v>
      </c>
      <c r="BB71" s="203">
        <v>1.1521236844298488</v>
      </c>
      <c r="BC71" s="139">
        <v>249</v>
      </c>
      <c r="BD71" s="204">
        <v>0.9</v>
      </c>
      <c r="BE71" s="139">
        <v>18854.510251737367</v>
      </c>
      <c r="BF71" s="139">
        <v>11000</v>
      </c>
      <c r="BG71" s="205">
        <v>0.65</v>
      </c>
      <c r="BH71" s="205">
        <v>0.65</v>
      </c>
      <c r="BI71" s="204">
        <v>0.2</v>
      </c>
      <c r="BJ71" s="142">
        <v>0.6</v>
      </c>
      <c r="BK71" s="205">
        <v>0.2</v>
      </c>
      <c r="BL71" s="170"/>
    </row>
    <row r="72" spans="1:64" x14ac:dyDescent="0.2">
      <c r="A72" s="91">
        <v>80</v>
      </c>
      <c r="B72" s="132" t="s">
        <v>83</v>
      </c>
      <c r="C72" s="155">
        <v>2445200</v>
      </c>
      <c r="D72" s="155">
        <v>824000</v>
      </c>
      <c r="E72" s="155">
        <v>822300</v>
      </c>
      <c r="F72" s="155">
        <v>0</v>
      </c>
      <c r="G72" s="97"/>
      <c r="H72" s="97"/>
      <c r="I72" s="164">
        <v>850800</v>
      </c>
      <c r="J72" s="164"/>
      <c r="K72" s="165">
        <v>223000</v>
      </c>
      <c r="L72" s="166">
        <v>1.62</v>
      </c>
      <c r="M72" s="118">
        <v>1.62</v>
      </c>
      <c r="N72" s="133">
        <v>3941</v>
      </c>
      <c r="O72" s="133">
        <v>4000</v>
      </c>
      <c r="P72" s="167">
        <v>1452.5502000000001</v>
      </c>
      <c r="Q72" s="133">
        <v>2786</v>
      </c>
      <c r="R72" s="168">
        <v>0</v>
      </c>
      <c r="S72" s="169">
        <v>1447.7432000000001</v>
      </c>
      <c r="T72" s="135">
        <v>502</v>
      </c>
      <c r="U72" s="97">
        <v>15</v>
      </c>
      <c r="V72" s="139">
        <v>1.07</v>
      </c>
      <c r="W72" s="136">
        <v>70249.349999999991</v>
      </c>
      <c r="X72" s="123">
        <v>483769.12</v>
      </c>
      <c r="Y72" s="137">
        <v>448938.79999999993</v>
      </c>
      <c r="Z72" s="123">
        <v>1942.4119853607044</v>
      </c>
      <c r="AA72" s="123">
        <v>70.481578279624472</v>
      </c>
      <c r="AB72" s="123">
        <v>251.00752347120022</v>
      </c>
      <c r="AC72" s="123">
        <v>122.1208352712685</v>
      </c>
      <c r="AD72" s="123">
        <v>58.667495559502669</v>
      </c>
      <c r="AE72" s="123">
        <v>58.867165693986301</v>
      </c>
      <c r="AF72" s="122">
        <v>2503.5565836362866</v>
      </c>
      <c r="AG72" s="123">
        <v>1861.6948017371899</v>
      </c>
      <c r="AH72" s="123">
        <v>77.345174999999983</v>
      </c>
      <c r="AI72" s="123">
        <v>307.28432500000002</v>
      </c>
      <c r="AJ72" s="123">
        <v>124.91971570667663</v>
      </c>
      <c r="AK72" s="123">
        <v>123.07899999999999</v>
      </c>
      <c r="AL72" s="123">
        <v>96.593987499999997</v>
      </c>
      <c r="AM72" s="122">
        <v>2590.9170049438662</v>
      </c>
      <c r="AN72" s="138">
        <v>1902.053393548947</v>
      </c>
      <c r="AO72" s="139">
        <v>73.913376639812228</v>
      </c>
      <c r="AP72" s="140">
        <v>279.14592423560009</v>
      </c>
      <c r="AQ72" s="140">
        <v>123.52027548897257</v>
      </c>
      <c r="AR72" s="139">
        <v>90.873247779751324</v>
      </c>
      <c r="AS72" s="141">
        <v>77.730576596993146</v>
      </c>
      <c r="AT72" s="122">
        <v>2547.236794290076</v>
      </c>
      <c r="AU72" s="136">
        <v>3299.6631030996</v>
      </c>
      <c r="AV72" s="142">
        <v>0.96</v>
      </c>
      <c r="AW72" s="143">
        <v>0</v>
      </c>
      <c r="AX72" s="213">
        <v>0.68623470617881865</v>
      </c>
      <c r="AY72" s="214">
        <v>0.45131460002480295</v>
      </c>
      <c r="AZ72" s="214">
        <v>-7.3256926185722937E-2</v>
      </c>
      <c r="BA72" s="214">
        <v>-5.2721093589694762E-3</v>
      </c>
      <c r="BB72" s="203">
        <v>1.1521236844298488</v>
      </c>
      <c r="BC72" s="139">
        <v>249</v>
      </c>
      <c r="BD72" s="204">
        <v>0.9</v>
      </c>
      <c r="BE72" s="139">
        <v>18854.510251737367</v>
      </c>
      <c r="BF72" s="139">
        <v>11000</v>
      </c>
      <c r="BG72" s="205">
        <v>0.65</v>
      </c>
      <c r="BH72" s="205">
        <v>0.65</v>
      </c>
      <c r="BI72" s="204">
        <v>0.2</v>
      </c>
      <c r="BJ72" s="142">
        <v>0.6</v>
      </c>
      <c r="BK72" s="205">
        <v>0.2</v>
      </c>
      <c r="BL72" s="170"/>
    </row>
    <row r="73" spans="1:64" x14ac:dyDescent="0.2">
      <c r="A73" s="91">
        <v>81</v>
      </c>
      <c r="B73" s="132" t="s">
        <v>84</v>
      </c>
      <c r="C73" s="155">
        <v>0</v>
      </c>
      <c r="D73" s="155">
        <v>0</v>
      </c>
      <c r="E73" s="155">
        <v>0</v>
      </c>
      <c r="F73" s="155">
        <v>2390100</v>
      </c>
      <c r="G73" s="97"/>
      <c r="H73" s="97"/>
      <c r="I73" s="164">
        <v>0</v>
      </c>
      <c r="J73" s="164"/>
      <c r="K73" s="165">
        <v>0</v>
      </c>
      <c r="L73" s="166">
        <v>1.29</v>
      </c>
      <c r="M73" s="118">
        <v>1.29</v>
      </c>
      <c r="N73" s="133">
        <v>23715</v>
      </c>
      <c r="O73" s="133">
        <v>23667</v>
      </c>
      <c r="P73" s="167">
        <v>3171.3734000000004</v>
      </c>
      <c r="Q73" s="133">
        <v>0</v>
      </c>
      <c r="R73" s="168">
        <v>0</v>
      </c>
      <c r="S73" s="169">
        <v>2081.6391899999999</v>
      </c>
      <c r="T73" s="135">
        <v>2446</v>
      </c>
      <c r="U73" s="97">
        <v>58</v>
      </c>
      <c r="V73" s="139">
        <v>1.05</v>
      </c>
      <c r="W73" s="136">
        <v>921528.37000000011</v>
      </c>
      <c r="X73" s="123">
        <v>7062103.25</v>
      </c>
      <c r="Y73" s="137">
        <v>4005682.9000000008</v>
      </c>
      <c r="Z73" s="123">
        <v>2830.7962158314731</v>
      </c>
      <c r="AA73" s="123">
        <v>84.405348935273025</v>
      </c>
      <c r="AB73" s="123">
        <v>393.95571790006318</v>
      </c>
      <c r="AC73" s="123">
        <v>149.92147050713729</v>
      </c>
      <c r="AD73" s="123">
        <v>69.181532785157074</v>
      </c>
      <c r="AE73" s="123">
        <v>76.803223698081382</v>
      </c>
      <c r="AF73" s="122">
        <v>3605.063509657185</v>
      </c>
      <c r="AG73" s="123">
        <v>2914.3539548365411</v>
      </c>
      <c r="AH73" s="123">
        <v>90.209247052858416</v>
      </c>
      <c r="AI73" s="123">
        <v>377.22040393797272</v>
      </c>
      <c r="AJ73" s="123">
        <v>155.95266078262938</v>
      </c>
      <c r="AK73" s="123">
        <v>106.98053618963114</v>
      </c>
      <c r="AL73" s="123">
        <v>100.60202391515612</v>
      </c>
      <c r="AM73" s="122">
        <v>3745.3188267147884</v>
      </c>
      <c r="AN73" s="138">
        <v>2872.5750853340069</v>
      </c>
      <c r="AO73" s="139">
        <v>87.307297994065721</v>
      </c>
      <c r="AP73" s="140">
        <v>385.58806091901795</v>
      </c>
      <c r="AQ73" s="140">
        <v>152.93706564488332</v>
      </c>
      <c r="AR73" s="139">
        <v>88.081034487394106</v>
      </c>
      <c r="AS73" s="141">
        <v>88.70262380661876</v>
      </c>
      <c r="AT73" s="122">
        <v>3675.1911681859865</v>
      </c>
      <c r="AU73" s="136">
        <v>3299.6631030996</v>
      </c>
      <c r="AV73" s="142">
        <v>0.96</v>
      </c>
      <c r="AW73" s="143">
        <v>-0.56904001007500926</v>
      </c>
      <c r="AX73" s="213">
        <v>-0.68536261919530628</v>
      </c>
      <c r="AY73" s="214">
        <v>-2.9223629168351237E-2</v>
      </c>
      <c r="AZ73" s="214">
        <v>-7.3256926185722937E-2</v>
      </c>
      <c r="BA73" s="214">
        <v>-4.588498996995332E-2</v>
      </c>
      <c r="BB73" s="203">
        <v>1.1521236844298488</v>
      </c>
      <c r="BC73" s="139">
        <v>249</v>
      </c>
      <c r="BD73" s="204">
        <v>0.9</v>
      </c>
      <c r="BE73" s="139">
        <v>18854.510251737367</v>
      </c>
      <c r="BF73" s="139">
        <v>11000</v>
      </c>
      <c r="BG73" s="205">
        <v>0.65</v>
      </c>
      <c r="BH73" s="205">
        <v>0.65</v>
      </c>
      <c r="BI73" s="204">
        <v>0.2</v>
      </c>
      <c r="BJ73" s="142">
        <v>0.6</v>
      </c>
      <c r="BK73" s="205">
        <v>0.2</v>
      </c>
      <c r="BL73" s="170"/>
    </row>
    <row r="74" spans="1:64" x14ac:dyDescent="0.2">
      <c r="A74" s="91">
        <v>83</v>
      </c>
      <c r="B74" s="132" t="s">
        <v>85</v>
      </c>
      <c r="C74" s="155">
        <v>0</v>
      </c>
      <c r="D74" s="155">
        <v>0</v>
      </c>
      <c r="E74" s="155">
        <v>4200</v>
      </c>
      <c r="F74" s="155">
        <v>0</v>
      </c>
      <c r="G74" s="97"/>
      <c r="H74" s="97"/>
      <c r="I74" s="164">
        <v>0</v>
      </c>
      <c r="J74" s="164"/>
      <c r="K74" s="165">
        <v>0</v>
      </c>
      <c r="L74" s="166">
        <v>1</v>
      </c>
      <c r="M74" s="118">
        <v>1</v>
      </c>
      <c r="N74" s="133">
        <v>4783</v>
      </c>
      <c r="O74" s="133">
        <v>4812</v>
      </c>
      <c r="P74" s="167">
        <v>872.03200000000004</v>
      </c>
      <c r="Q74" s="133">
        <v>0</v>
      </c>
      <c r="R74" s="168">
        <v>0</v>
      </c>
      <c r="S74" s="169">
        <v>896.73392000000001</v>
      </c>
      <c r="T74" s="135">
        <v>553</v>
      </c>
      <c r="U74" s="97">
        <v>8</v>
      </c>
      <c r="V74" s="139">
        <v>0.85</v>
      </c>
      <c r="W74" s="136">
        <v>33174.35</v>
      </c>
      <c r="X74" s="123">
        <v>385727.54999999993</v>
      </c>
      <c r="Y74" s="137">
        <v>368122.05</v>
      </c>
      <c r="Z74" s="123">
        <v>3267.6752313127413</v>
      </c>
      <c r="AA74" s="123">
        <v>41.104599623667148</v>
      </c>
      <c r="AB74" s="123">
        <v>202.04545264478361</v>
      </c>
      <c r="AC74" s="123">
        <v>165.10500208599197</v>
      </c>
      <c r="AD74" s="123">
        <v>85.098714196111231</v>
      </c>
      <c r="AE74" s="123">
        <v>78.361666318210325</v>
      </c>
      <c r="AF74" s="122">
        <v>3839.3906661815054</v>
      </c>
      <c r="AG74" s="123">
        <v>3290.0838218451245</v>
      </c>
      <c r="AH74" s="123">
        <v>56.144731920199504</v>
      </c>
      <c r="AI74" s="123">
        <v>200.90980881130508</v>
      </c>
      <c r="AJ74" s="123">
        <v>172.55919548895716</v>
      </c>
      <c r="AK74" s="123">
        <v>160.84397339983374</v>
      </c>
      <c r="AL74" s="123">
        <v>140.4552472984206</v>
      </c>
      <c r="AM74" s="122">
        <v>4020.9967787638407</v>
      </c>
      <c r="AN74" s="138">
        <v>3278.8795265789331</v>
      </c>
      <c r="AO74" s="139">
        <v>48.624665771933323</v>
      </c>
      <c r="AP74" s="140">
        <v>201.47763072804435</v>
      </c>
      <c r="AQ74" s="140">
        <v>168.83209878747456</v>
      </c>
      <c r="AR74" s="139">
        <v>122.97134379797248</v>
      </c>
      <c r="AS74" s="141">
        <v>109.40845680831546</v>
      </c>
      <c r="AT74" s="122">
        <v>3930.1937224726735</v>
      </c>
      <c r="AU74" s="136">
        <v>3299.6631030996</v>
      </c>
      <c r="AV74" s="142">
        <v>0.96</v>
      </c>
      <c r="AW74" s="143">
        <v>-0.95544696484433977</v>
      </c>
      <c r="AX74" s="213">
        <v>-0.40270521535899234</v>
      </c>
      <c r="AY74" s="214">
        <v>-2.9223629168351237E-2</v>
      </c>
      <c r="AZ74" s="214">
        <v>-7.3256926185722937E-2</v>
      </c>
      <c r="BA74" s="214">
        <v>-3.1299132421315545E-2</v>
      </c>
      <c r="BB74" s="203">
        <v>1.1521236844298488</v>
      </c>
      <c r="BC74" s="139">
        <v>249</v>
      </c>
      <c r="BD74" s="204">
        <v>0.9</v>
      </c>
      <c r="BE74" s="139">
        <v>18854.510251737367</v>
      </c>
      <c r="BF74" s="139">
        <v>11000</v>
      </c>
      <c r="BG74" s="205">
        <v>0.65</v>
      </c>
      <c r="BH74" s="205">
        <v>0.65</v>
      </c>
      <c r="BI74" s="204">
        <v>0.2</v>
      </c>
      <c r="BJ74" s="142">
        <v>0.6</v>
      </c>
      <c r="BK74" s="205">
        <v>0.2</v>
      </c>
      <c r="BL74" s="170"/>
    </row>
    <row r="75" spans="1:64" x14ac:dyDescent="0.2">
      <c r="A75" s="91">
        <v>84</v>
      </c>
      <c r="B75" s="132" t="s">
        <v>86</v>
      </c>
      <c r="C75" s="155">
        <v>0</v>
      </c>
      <c r="D75" s="155">
        <v>408900</v>
      </c>
      <c r="E75" s="155">
        <v>181000</v>
      </c>
      <c r="F75" s="155">
        <v>0</v>
      </c>
      <c r="G75" s="97"/>
      <c r="H75" s="97"/>
      <c r="I75" s="164">
        <v>0</v>
      </c>
      <c r="J75" s="164"/>
      <c r="K75" s="165">
        <v>0</v>
      </c>
      <c r="L75" s="166">
        <v>1.1200000000000001</v>
      </c>
      <c r="M75" s="118">
        <v>1.1200000000000001</v>
      </c>
      <c r="N75" s="133">
        <v>4250</v>
      </c>
      <c r="O75" s="133">
        <v>4272</v>
      </c>
      <c r="P75" s="167">
        <v>1705.0086000000001</v>
      </c>
      <c r="Q75" s="133">
        <v>0</v>
      </c>
      <c r="R75" s="168">
        <v>4110.0561398633999</v>
      </c>
      <c r="S75" s="169">
        <v>1773.1269399999999</v>
      </c>
      <c r="T75" s="135">
        <v>513</v>
      </c>
      <c r="U75" s="97">
        <v>8</v>
      </c>
      <c r="V75" s="139">
        <v>0.86</v>
      </c>
      <c r="W75" s="136">
        <v>43626.6</v>
      </c>
      <c r="X75" s="123">
        <v>177847.25</v>
      </c>
      <c r="Y75" s="137">
        <v>316341.0500000001</v>
      </c>
      <c r="Z75" s="123">
        <v>2468.3366691096921</v>
      </c>
      <c r="AA75" s="123">
        <v>68.225635294117652</v>
      </c>
      <c r="AB75" s="123">
        <v>511.88165882352951</v>
      </c>
      <c r="AC75" s="123">
        <v>157.61716442967008</v>
      </c>
      <c r="AD75" s="123">
        <v>226.85321176470589</v>
      </c>
      <c r="AE75" s="123">
        <v>60.70956470588235</v>
      </c>
      <c r="AF75" s="122">
        <v>3493.6239041275976</v>
      </c>
      <c r="AG75" s="123">
        <v>2579.8427539896329</v>
      </c>
      <c r="AH75" s="123">
        <v>59.604213483146069</v>
      </c>
      <c r="AI75" s="123">
        <v>758.06789559925085</v>
      </c>
      <c r="AJ75" s="123">
        <v>163.66240315401728</v>
      </c>
      <c r="AK75" s="123">
        <v>74.640367509363301</v>
      </c>
      <c r="AL75" s="123">
        <v>122.82826544943819</v>
      </c>
      <c r="AM75" s="122">
        <v>3758.6458991848485</v>
      </c>
      <c r="AN75" s="138">
        <v>2524.0897115496628</v>
      </c>
      <c r="AO75" s="139">
        <v>63.91492438863186</v>
      </c>
      <c r="AP75" s="140">
        <v>634.97477721139012</v>
      </c>
      <c r="AQ75" s="140">
        <v>160.63978379184368</v>
      </c>
      <c r="AR75" s="139">
        <v>150.7467896370346</v>
      </c>
      <c r="AS75" s="141">
        <v>91.768915077660267</v>
      </c>
      <c r="AT75" s="122">
        <v>3626.1349016562235</v>
      </c>
      <c r="AU75" s="136">
        <v>3299.6631030996</v>
      </c>
      <c r="AV75" s="142">
        <v>0.96</v>
      </c>
      <c r="AW75" s="143">
        <v>-0.49470474462975694</v>
      </c>
      <c r="AX75" s="213">
        <v>0.90157742650428141</v>
      </c>
      <c r="AY75" s="214">
        <v>-2.9223629168351237E-2</v>
      </c>
      <c r="AZ75" s="214">
        <v>9.8988076603045469E-2</v>
      </c>
      <c r="BA75" s="214">
        <v>2.6023123110416393E-3</v>
      </c>
      <c r="BB75" s="203">
        <v>1.1521236844298488</v>
      </c>
      <c r="BC75" s="139">
        <v>249</v>
      </c>
      <c r="BD75" s="204">
        <v>0.9</v>
      </c>
      <c r="BE75" s="139">
        <v>18854.510251737367</v>
      </c>
      <c r="BF75" s="139">
        <v>11000</v>
      </c>
      <c r="BG75" s="205">
        <v>0.65</v>
      </c>
      <c r="BH75" s="205">
        <v>0.65</v>
      </c>
      <c r="BI75" s="204">
        <v>0.2</v>
      </c>
      <c r="BJ75" s="142">
        <v>0.6</v>
      </c>
      <c r="BK75" s="205">
        <v>0.2</v>
      </c>
      <c r="BL75" s="170"/>
    </row>
    <row r="76" spans="1:64" x14ac:dyDescent="0.2">
      <c r="A76" s="91">
        <v>85</v>
      </c>
      <c r="B76" s="132" t="s">
        <v>87</v>
      </c>
      <c r="C76" s="155">
        <v>1182800</v>
      </c>
      <c r="D76" s="155">
        <v>544100</v>
      </c>
      <c r="E76" s="155">
        <v>385900</v>
      </c>
      <c r="F76" s="155">
        <v>0</v>
      </c>
      <c r="G76" s="97"/>
      <c r="H76" s="97"/>
      <c r="I76" s="164">
        <v>0</v>
      </c>
      <c r="J76" s="164"/>
      <c r="K76" s="165">
        <v>0</v>
      </c>
      <c r="L76" s="166">
        <v>1.57</v>
      </c>
      <c r="M76" s="118">
        <v>1.57</v>
      </c>
      <c r="N76" s="133">
        <v>1515</v>
      </c>
      <c r="O76" s="133">
        <v>1519</v>
      </c>
      <c r="P76" s="167">
        <v>846.54199999999992</v>
      </c>
      <c r="Q76" s="133">
        <v>0</v>
      </c>
      <c r="R76" s="168">
        <v>0</v>
      </c>
      <c r="S76" s="169">
        <v>1583.6607100000001</v>
      </c>
      <c r="T76" s="135">
        <v>200</v>
      </c>
      <c r="U76" s="97">
        <v>8</v>
      </c>
      <c r="V76" s="139">
        <v>0.91</v>
      </c>
      <c r="W76" s="136">
        <v>39880.800000000003</v>
      </c>
      <c r="X76" s="123">
        <v>58290.850000000006</v>
      </c>
      <c r="Y76" s="137">
        <v>130210.1</v>
      </c>
      <c r="Z76" s="123">
        <v>2043.5144660942112</v>
      </c>
      <c r="AA76" s="123">
        <v>51.91676567656765</v>
      </c>
      <c r="AB76" s="123">
        <v>57.411023102310232</v>
      </c>
      <c r="AC76" s="123">
        <v>139.14201107148409</v>
      </c>
      <c r="AD76" s="123">
        <v>33.350033003300332</v>
      </c>
      <c r="AE76" s="123">
        <v>-17.212310231023103</v>
      </c>
      <c r="AF76" s="122">
        <v>2308.1219887168504</v>
      </c>
      <c r="AG76" s="123">
        <v>2043.3976577447934</v>
      </c>
      <c r="AH76" s="123">
        <v>51.562310730743917</v>
      </c>
      <c r="AI76" s="123">
        <v>70.481435154707043</v>
      </c>
      <c r="AJ76" s="123">
        <v>144.09065312855842</v>
      </c>
      <c r="AK76" s="123">
        <v>64.959381171823566</v>
      </c>
      <c r="AL76" s="123">
        <v>91.281468071099397</v>
      </c>
      <c r="AM76" s="122">
        <v>2465.7729060017255</v>
      </c>
      <c r="AN76" s="138">
        <v>2043.4560619195022</v>
      </c>
      <c r="AO76" s="139">
        <v>51.739538203655783</v>
      </c>
      <c r="AP76" s="140">
        <v>63.946229128508634</v>
      </c>
      <c r="AQ76" s="140">
        <v>141.61633210002125</v>
      </c>
      <c r="AR76" s="139">
        <v>49.154707087561945</v>
      </c>
      <c r="AS76" s="141">
        <v>37.034578920038143</v>
      </c>
      <c r="AT76" s="122">
        <v>2386.9474473592877</v>
      </c>
      <c r="AU76" s="136">
        <v>3299.6631030996</v>
      </c>
      <c r="AV76" s="142">
        <v>0.96</v>
      </c>
      <c r="AW76" s="143">
        <v>0</v>
      </c>
      <c r="AX76" s="213">
        <v>1.8484861616003818</v>
      </c>
      <c r="AY76" s="214">
        <v>-2.9223629168351237E-2</v>
      </c>
      <c r="AZ76" s="214">
        <v>-7.3256926185722937E-2</v>
      </c>
      <c r="BA76" s="214">
        <v>9.561987673624267E-2</v>
      </c>
      <c r="BB76" s="203">
        <v>1.1521236844298488</v>
      </c>
      <c r="BC76" s="139">
        <v>249</v>
      </c>
      <c r="BD76" s="204">
        <v>0.9</v>
      </c>
      <c r="BE76" s="139">
        <v>18854.510251737367</v>
      </c>
      <c r="BF76" s="139">
        <v>11000</v>
      </c>
      <c r="BG76" s="205">
        <v>0.65</v>
      </c>
      <c r="BH76" s="205">
        <v>0.65</v>
      </c>
      <c r="BI76" s="204">
        <v>0.2</v>
      </c>
      <c r="BJ76" s="142">
        <v>0.6</v>
      </c>
      <c r="BK76" s="205">
        <v>0.2</v>
      </c>
      <c r="BL76" s="170"/>
    </row>
    <row r="77" spans="1:64" x14ac:dyDescent="0.2">
      <c r="A77" s="91">
        <v>86</v>
      </c>
      <c r="B77" s="132" t="s">
        <v>88</v>
      </c>
      <c r="C77" s="155">
        <v>1356600</v>
      </c>
      <c r="D77" s="155">
        <v>633000</v>
      </c>
      <c r="E77" s="155">
        <v>1605500</v>
      </c>
      <c r="F77" s="155">
        <v>0</v>
      </c>
      <c r="G77" s="97"/>
      <c r="H77" s="97"/>
      <c r="I77" s="164">
        <v>0</v>
      </c>
      <c r="J77" s="164"/>
      <c r="K77" s="165">
        <v>0</v>
      </c>
      <c r="L77" s="166">
        <v>1.26</v>
      </c>
      <c r="M77" s="118">
        <v>1.26</v>
      </c>
      <c r="N77" s="133">
        <v>2954</v>
      </c>
      <c r="O77" s="133">
        <v>3008</v>
      </c>
      <c r="P77" s="167">
        <v>1285.0289999999998</v>
      </c>
      <c r="Q77" s="133">
        <v>0</v>
      </c>
      <c r="R77" s="168">
        <v>2217.62822971072</v>
      </c>
      <c r="S77" s="169">
        <v>1637.1691800000001</v>
      </c>
      <c r="T77" s="135">
        <v>474</v>
      </c>
      <c r="U77" s="97">
        <v>7</v>
      </c>
      <c r="V77" s="139">
        <v>0.86</v>
      </c>
      <c r="W77" s="136">
        <v>16225.5</v>
      </c>
      <c r="X77" s="123">
        <v>226973</v>
      </c>
      <c r="Y77" s="137">
        <v>325881.8</v>
      </c>
      <c r="Z77" s="123">
        <v>2128.9301765241298</v>
      </c>
      <c r="AA77" s="123">
        <v>33.788964116452263</v>
      </c>
      <c r="AB77" s="123">
        <v>57.678334461746793</v>
      </c>
      <c r="AC77" s="123">
        <v>139.85087320824269</v>
      </c>
      <c r="AD77" s="123">
        <v>73.836865267433993</v>
      </c>
      <c r="AE77" s="123">
        <v>42.669651320243737</v>
      </c>
      <c r="AF77" s="122">
        <v>2476.7548648982497</v>
      </c>
      <c r="AG77" s="123">
        <v>2435.2855569600565</v>
      </c>
      <c r="AH77" s="123">
        <v>35.802958776595752</v>
      </c>
      <c r="AI77" s="123">
        <v>102.72076130319151</v>
      </c>
      <c r="AJ77" s="123">
        <v>146.03352213262662</v>
      </c>
      <c r="AK77" s="123">
        <v>111.86115359042553</v>
      </c>
      <c r="AL77" s="123">
        <v>108.40731382978724</v>
      </c>
      <c r="AM77" s="122">
        <v>2940.1112665926835</v>
      </c>
      <c r="AN77" s="138">
        <v>2282.1078667420934</v>
      </c>
      <c r="AO77" s="139">
        <v>34.795961446524004</v>
      </c>
      <c r="AP77" s="140">
        <v>80.199547882469147</v>
      </c>
      <c r="AQ77" s="140">
        <v>142.94219767043467</v>
      </c>
      <c r="AR77" s="139">
        <v>92.849009428929762</v>
      </c>
      <c r="AS77" s="141">
        <v>75.538482575015493</v>
      </c>
      <c r="AT77" s="122">
        <v>2708.4330657454666</v>
      </c>
      <c r="AU77" s="136">
        <v>3299.6631030996</v>
      </c>
      <c r="AV77" s="142">
        <v>0.96</v>
      </c>
      <c r="AW77" s="143">
        <v>0</v>
      </c>
      <c r="AX77" s="213">
        <v>1.069729287261354</v>
      </c>
      <c r="AY77" s="214">
        <v>-2.9223629168351237E-2</v>
      </c>
      <c r="AZ77" s="214">
        <v>1.9679853170208112E-2</v>
      </c>
      <c r="BA77" s="214">
        <v>2.1756040950488994E-2</v>
      </c>
      <c r="BB77" s="203">
        <v>1.1521236844298488</v>
      </c>
      <c r="BC77" s="139">
        <v>249</v>
      </c>
      <c r="BD77" s="204">
        <v>0.9</v>
      </c>
      <c r="BE77" s="139">
        <v>18854.510251737367</v>
      </c>
      <c r="BF77" s="139">
        <v>11000</v>
      </c>
      <c r="BG77" s="205">
        <v>0.65</v>
      </c>
      <c r="BH77" s="205">
        <v>0.65</v>
      </c>
      <c r="BI77" s="204">
        <v>0.2</v>
      </c>
      <c r="BJ77" s="142">
        <v>0.6</v>
      </c>
      <c r="BK77" s="205">
        <v>0.2</v>
      </c>
      <c r="BL77" s="170"/>
    </row>
    <row r="78" spans="1:64" x14ac:dyDescent="0.2">
      <c r="A78" s="91">
        <v>87</v>
      </c>
      <c r="B78" s="132" t="s">
        <v>89</v>
      </c>
      <c r="C78" s="155">
        <v>0</v>
      </c>
      <c r="D78" s="155">
        <v>0</v>
      </c>
      <c r="E78" s="155">
        <v>0</v>
      </c>
      <c r="F78" s="155">
        <v>0</v>
      </c>
      <c r="G78" s="97"/>
      <c r="H78" s="97"/>
      <c r="I78" s="164">
        <v>0</v>
      </c>
      <c r="J78" s="164"/>
      <c r="K78" s="165">
        <v>0</v>
      </c>
      <c r="L78" s="166">
        <v>1.26</v>
      </c>
      <c r="M78" s="118">
        <v>1.26</v>
      </c>
      <c r="N78" s="133">
        <v>18053</v>
      </c>
      <c r="O78" s="133">
        <v>18005</v>
      </c>
      <c r="P78" s="167">
        <v>3066.8756000000003</v>
      </c>
      <c r="Q78" s="133">
        <v>0</v>
      </c>
      <c r="R78" s="168">
        <v>0</v>
      </c>
      <c r="S78" s="169">
        <v>2750.6227599999997</v>
      </c>
      <c r="T78" s="135">
        <v>1908</v>
      </c>
      <c r="U78" s="97">
        <v>53</v>
      </c>
      <c r="V78" s="139">
        <v>0.95</v>
      </c>
      <c r="W78" s="136">
        <v>647730.44999999995</v>
      </c>
      <c r="X78" s="123">
        <v>1905958.0399999998</v>
      </c>
      <c r="Y78" s="137">
        <v>2265282.5</v>
      </c>
      <c r="Z78" s="123">
        <v>2673.7894273113088</v>
      </c>
      <c r="AA78" s="123">
        <v>56.463767794826346</v>
      </c>
      <c r="AB78" s="123">
        <v>303.66827397108517</v>
      </c>
      <c r="AC78" s="123">
        <v>151.03105266174228</v>
      </c>
      <c r="AD78" s="123">
        <v>67.194593696338558</v>
      </c>
      <c r="AE78" s="123">
        <v>39.121475655015786</v>
      </c>
      <c r="AF78" s="122">
        <v>3291.2685910903165</v>
      </c>
      <c r="AG78" s="123">
        <v>2623.9708324129947</v>
      </c>
      <c r="AH78" s="123">
        <v>59.355320744237716</v>
      </c>
      <c r="AI78" s="123">
        <v>363.0454457095251</v>
      </c>
      <c r="AJ78" s="123">
        <v>157.17305279490751</v>
      </c>
      <c r="AK78" s="123">
        <v>98.492840877534022</v>
      </c>
      <c r="AL78" s="123">
        <v>67.460258261593992</v>
      </c>
      <c r="AM78" s="122">
        <v>3369.4977508007933</v>
      </c>
      <c r="AN78" s="138">
        <v>2648.880129862152</v>
      </c>
      <c r="AO78" s="139">
        <v>57.909544269532034</v>
      </c>
      <c r="AP78" s="140">
        <v>333.35685984030511</v>
      </c>
      <c r="AQ78" s="140">
        <v>154.10205272832491</v>
      </c>
      <c r="AR78" s="139">
        <v>82.843717286936283</v>
      </c>
      <c r="AS78" s="141">
        <v>53.290866958304889</v>
      </c>
      <c r="AT78" s="122">
        <v>3330.3831709455549</v>
      </c>
      <c r="AU78" s="136">
        <v>3299.6631030996</v>
      </c>
      <c r="AV78" s="142">
        <v>0.96</v>
      </c>
      <c r="AW78" s="143">
        <v>-4.6550309662064526E-2</v>
      </c>
      <c r="AX78" s="213">
        <v>-0.46786552914246426</v>
      </c>
      <c r="AY78" s="214">
        <v>-2.9223629168351237E-2</v>
      </c>
      <c r="AZ78" s="214">
        <v>-7.3256926185722937E-2</v>
      </c>
      <c r="BA78" s="214">
        <v>-3.6277343561552759E-2</v>
      </c>
      <c r="BB78" s="203">
        <v>1.1521236844298488</v>
      </c>
      <c r="BC78" s="139">
        <v>249</v>
      </c>
      <c r="BD78" s="204">
        <v>0.9</v>
      </c>
      <c r="BE78" s="139">
        <v>18854.510251737367</v>
      </c>
      <c r="BF78" s="139">
        <v>11000</v>
      </c>
      <c r="BG78" s="205">
        <v>0.65</v>
      </c>
      <c r="BH78" s="205">
        <v>0.65</v>
      </c>
      <c r="BI78" s="204">
        <v>0.2</v>
      </c>
      <c r="BJ78" s="142">
        <v>0.6</v>
      </c>
      <c r="BK78" s="205">
        <v>0.2</v>
      </c>
      <c r="BL78" s="170"/>
    </row>
    <row r="79" spans="1:64" x14ac:dyDescent="0.2">
      <c r="A79" s="91">
        <v>88</v>
      </c>
      <c r="B79" s="132" t="s">
        <v>90</v>
      </c>
      <c r="C79" s="155">
        <v>0</v>
      </c>
      <c r="D79" s="155">
        <v>168700</v>
      </c>
      <c r="E79" s="155">
        <v>1064200</v>
      </c>
      <c r="F79" s="155">
        <v>0</v>
      </c>
      <c r="G79" s="97"/>
      <c r="H79" s="97"/>
      <c r="I79" s="164">
        <v>0</v>
      </c>
      <c r="J79" s="164"/>
      <c r="K79" s="165">
        <v>0</v>
      </c>
      <c r="L79" s="166">
        <v>1.37</v>
      </c>
      <c r="M79" s="118">
        <v>1.33</v>
      </c>
      <c r="N79" s="133">
        <v>1912</v>
      </c>
      <c r="O79" s="133">
        <v>1899</v>
      </c>
      <c r="P79" s="167">
        <v>652.35299999999995</v>
      </c>
      <c r="Q79" s="133">
        <v>0</v>
      </c>
      <c r="R79" s="168">
        <v>0</v>
      </c>
      <c r="S79" s="169">
        <v>630.62275</v>
      </c>
      <c r="T79" s="135">
        <v>303</v>
      </c>
      <c r="U79" s="97">
        <v>2</v>
      </c>
      <c r="V79" s="139">
        <v>0.87</v>
      </c>
      <c r="W79" s="136">
        <v>142230.85</v>
      </c>
      <c r="X79" s="123">
        <v>96910.05</v>
      </c>
      <c r="Y79" s="137">
        <v>213542.50000000003</v>
      </c>
      <c r="Z79" s="123">
        <v>2684.8631151001923</v>
      </c>
      <c r="AA79" s="123">
        <v>42.059858786610874</v>
      </c>
      <c r="AB79" s="123">
        <v>101.32452928870293</v>
      </c>
      <c r="AC79" s="123">
        <v>146.89379057689681</v>
      </c>
      <c r="AD79" s="123">
        <v>48.352536610878666</v>
      </c>
      <c r="AE79" s="123">
        <v>208.5327928870293</v>
      </c>
      <c r="AF79" s="122">
        <v>3232.0266232503104</v>
      </c>
      <c r="AG79" s="123">
        <v>2562.830456292947</v>
      </c>
      <c r="AH79" s="123">
        <v>56.193970510795161</v>
      </c>
      <c r="AI79" s="123">
        <v>137.77356503422854</v>
      </c>
      <c r="AJ79" s="123">
        <v>152.15313594057054</v>
      </c>
      <c r="AK79" s="123">
        <v>84.806082148499215</v>
      </c>
      <c r="AL79" s="123">
        <v>287.97061611374409</v>
      </c>
      <c r="AM79" s="122">
        <v>3281.7278260407843</v>
      </c>
      <c r="AN79" s="138">
        <v>2623.8467856965699</v>
      </c>
      <c r="AO79" s="139">
        <v>49.126914648703021</v>
      </c>
      <c r="AP79" s="140">
        <v>119.54904716146574</v>
      </c>
      <c r="AQ79" s="140">
        <v>149.52346325873367</v>
      </c>
      <c r="AR79" s="139">
        <v>66.579309379688937</v>
      </c>
      <c r="AS79" s="141">
        <v>248.25170450038669</v>
      </c>
      <c r="AT79" s="122">
        <v>3256.8772246455474</v>
      </c>
      <c r="AU79" s="136">
        <v>3299.6631030996</v>
      </c>
      <c r="AV79" s="142">
        <v>0.96</v>
      </c>
      <c r="AW79" s="143">
        <v>0</v>
      </c>
      <c r="AX79" s="213">
        <v>0.56883272417391695</v>
      </c>
      <c r="AY79" s="214">
        <v>-2.9223629168351237E-2</v>
      </c>
      <c r="AZ79" s="214">
        <v>-7.3256926185722937E-2</v>
      </c>
      <c r="BA79" s="214">
        <v>-9.6974962893322941E-3</v>
      </c>
      <c r="BB79" s="203">
        <v>1.1521236844298488</v>
      </c>
      <c r="BC79" s="139">
        <v>249</v>
      </c>
      <c r="BD79" s="204">
        <v>0.9</v>
      </c>
      <c r="BE79" s="139">
        <v>18854.510251737367</v>
      </c>
      <c r="BF79" s="139">
        <v>11000</v>
      </c>
      <c r="BG79" s="205">
        <v>0.65</v>
      </c>
      <c r="BH79" s="205">
        <v>0.65</v>
      </c>
      <c r="BI79" s="204">
        <v>0.2</v>
      </c>
      <c r="BJ79" s="142">
        <v>0.6</v>
      </c>
      <c r="BK79" s="205">
        <v>0.2</v>
      </c>
      <c r="BL79" s="170"/>
    </row>
    <row r="80" spans="1:64" x14ac:dyDescent="0.2">
      <c r="A80" s="91">
        <v>89</v>
      </c>
      <c r="B80" s="132" t="s">
        <v>91</v>
      </c>
      <c r="C80" s="155">
        <v>1129700</v>
      </c>
      <c r="D80" s="155">
        <v>1763700</v>
      </c>
      <c r="E80" s="155">
        <v>1591500</v>
      </c>
      <c r="F80" s="155">
        <v>0</v>
      </c>
      <c r="G80" s="97"/>
      <c r="H80" s="97"/>
      <c r="I80" s="164">
        <v>0</v>
      </c>
      <c r="J80" s="164"/>
      <c r="K80" s="165">
        <v>0</v>
      </c>
      <c r="L80" s="166">
        <v>1.4</v>
      </c>
      <c r="M80" s="118">
        <v>1.35</v>
      </c>
      <c r="N80" s="133">
        <v>3518</v>
      </c>
      <c r="O80" s="133">
        <v>3519</v>
      </c>
      <c r="P80" s="167">
        <v>2302.4419999999996</v>
      </c>
      <c r="Q80" s="133">
        <v>112</v>
      </c>
      <c r="R80" s="168">
        <v>3701.6415812793002</v>
      </c>
      <c r="S80" s="169">
        <v>3134.3092099999999</v>
      </c>
      <c r="T80" s="135">
        <v>529</v>
      </c>
      <c r="U80" s="97">
        <v>9</v>
      </c>
      <c r="V80" s="139">
        <v>0.88</v>
      </c>
      <c r="W80" s="136">
        <v>71132.45</v>
      </c>
      <c r="X80" s="123">
        <v>247024.05</v>
      </c>
      <c r="Y80" s="137">
        <v>292505.45000000013</v>
      </c>
      <c r="Z80" s="123">
        <v>2350.7560835423542</v>
      </c>
      <c r="AA80" s="123">
        <v>53.031239340534391</v>
      </c>
      <c r="AB80" s="123">
        <v>102.37532689027857</v>
      </c>
      <c r="AC80" s="123">
        <v>135.67491607273951</v>
      </c>
      <c r="AD80" s="123">
        <v>84.446546333143829</v>
      </c>
      <c r="AE80" s="123">
        <v>85.210190449118826</v>
      </c>
      <c r="AF80" s="122">
        <v>2811.4943026281694</v>
      </c>
      <c r="AG80" s="123">
        <v>2463.9790370691717</v>
      </c>
      <c r="AH80" s="123">
        <v>49.782296106848527</v>
      </c>
      <c r="AI80" s="123">
        <v>108.92485080988916</v>
      </c>
      <c r="AJ80" s="123">
        <v>140.63871724383509</v>
      </c>
      <c r="AK80" s="123">
        <v>48.69676044330776</v>
      </c>
      <c r="AL80" s="123">
        <v>69.580463199772666</v>
      </c>
      <c r="AM80" s="122">
        <v>2881.6021248728243</v>
      </c>
      <c r="AN80" s="138">
        <v>2407.3675603057627</v>
      </c>
      <c r="AO80" s="139">
        <v>51.406767723691459</v>
      </c>
      <c r="AP80" s="140">
        <v>105.65008885008388</v>
      </c>
      <c r="AQ80" s="140">
        <v>138.15681665828731</v>
      </c>
      <c r="AR80" s="139">
        <v>66.571653388225798</v>
      </c>
      <c r="AS80" s="141">
        <v>77.395326824445746</v>
      </c>
      <c r="AT80" s="122">
        <v>2846.5482137504969</v>
      </c>
      <c r="AU80" s="136">
        <v>3299.6631030996</v>
      </c>
      <c r="AV80" s="142">
        <v>0.96</v>
      </c>
      <c r="AW80" s="143">
        <v>0</v>
      </c>
      <c r="AX80" s="213">
        <v>2.4290386468697061</v>
      </c>
      <c r="AY80" s="214">
        <v>-7.2649820907053578E-3</v>
      </c>
      <c r="AZ80" s="214">
        <v>8.1872162759437983E-2</v>
      </c>
      <c r="BA80" s="214">
        <v>7.3105371229958124E-2</v>
      </c>
      <c r="BB80" s="203">
        <v>1.1521236844298488</v>
      </c>
      <c r="BC80" s="139">
        <v>249</v>
      </c>
      <c r="BD80" s="204">
        <v>0.9</v>
      </c>
      <c r="BE80" s="139">
        <v>18854.510251737367</v>
      </c>
      <c r="BF80" s="139">
        <v>11000</v>
      </c>
      <c r="BG80" s="205">
        <v>0.65</v>
      </c>
      <c r="BH80" s="205">
        <v>0.65</v>
      </c>
      <c r="BI80" s="204">
        <v>0.2</v>
      </c>
      <c r="BJ80" s="142">
        <v>0.6</v>
      </c>
      <c r="BK80" s="205">
        <v>0.2</v>
      </c>
      <c r="BL80" s="170"/>
    </row>
    <row r="81" spans="1:64" x14ac:dyDescent="0.2">
      <c r="A81" s="91">
        <v>90</v>
      </c>
      <c r="B81" s="132" t="s">
        <v>92</v>
      </c>
      <c r="C81" s="155">
        <v>0</v>
      </c>
      <c r="D81" s="155">
        <v>0</v>
      </c>
      <c r="E81" s="155">
        <v>154500</v>
      </c>
      <c r="F81" s="155">
        <v>0</v>
      </c>
      <c r="G81" s="97"/>
      <c r="H81" s="97"/>
      <c r="I81" s="171">
        <v>0</v>
      </c>
      <c r="J81" s="171"/>
      <c r="K81" s="172">
        <v>0</v>
      </c>
      <c r="L81" s="166">
        <v>1.1499999999999999</v>
      </c>
      <c r="M81" s="118">
        <v>1.1499999999999999</v>
      </c>
      <c r="N81" s="133">
        <v>8139</v>
      </c>
      <c r="O81" s="133">
        <v>8378</v>
      </c>
      <c r="P81" s="167">
        <v>1677.5432000000001</v>
      </c>
      <c r="Q81" s="144">
        <v>21</v>
      </c>
      <c r="R81" s="173">
        <v>2430.64257072174</v>
      </c>
      <c r="S81" s="174">
        <v>1263.28487</v>
      </c>
      <c r="T81" s="135">
        <v>956</v>
      </c>
      <c r="U81" s="97">
        <v>26</v>
      </c>
      <c r="V81" s="139">
        <v>0.92</v>
      </c>
      <c r="W81" s="136">
        <v>112526</v>
      </c>
      <c r="X81" s="123">
        <v>1387734.3699999999</v>
      </c>
      <c r="Y81" s="137">
        <v>764119.50000000012</v>
      </c>
      <c r="Z81" s="123">
        <v>2999.1403817402984</v>
      </c>
      <c r="AA81" s="123">
        <v>39.633947659417629</v>
      </c>
      <c r="AB81" s="123">
        <v>101.97574026293155</v>
      </c>
      <c r="AC81" s="123">
        <v>155.91539656443098</v>
      </c>
      <c r="AD81" s="123">
        <v>90.771212679690379</v>
      </c>
      <c r="AE81" s="123">
        <v>161.60949748126305</v>
      </c>
      <c r="AF81" s="122">
        <v>3549.0461763880321</v>
      </c>
      <c r="AG81" s="123">
        <v>3047.0651970008653</v>
      </c>
      <c r="AH81" s="123">
        <v>41.310563380281693</v>
      </c>
      <c r="AI81" s="123">
        <v>105.40955478634518</v>
      </c>
      <c r="AJ81" s="123">
        <v>154.08327187322368</v>
      </c>
      <c r="AK81" s="123">
        <v>79.392271425161127</v>
      </c>
      <c r="AL81" s="123">
        <v>86.020846264024826</v>
      </c>
      <c r="AM81" s="122">
        <v>3513.2817047299018</v>
      </c>
      <c r="AN81" s="138">
        <v>3023.1027893705818</v>
      </c>
      <c r="AO81" s="139">
        <v>40.472255519849661</v>
      </c>
      <c r="AP81" s="140">
        <v>103.69264752463837</v>
      </c>
      <c r="AQ81" s="140">
        <v>154.99933421882733</v>
      </c>
      <c r="AR81" s="139">
        <v>85.081742052425753</v>
      </c>
      <c r="AS81" s="141">
        <v>123.81517187264393</v>
      </c>
      <c r="AT81" s="122">
        <v>3531.1639405589667</v>
      </c>
      <c r="AU81" s="136">
        <v>3299.6631030996</v>
      </c>
      <c r="AV81" s="142">
        <v>0.96</v>
      </c>
      <c r="AW81" s="143">
        <v>-0.35079465725137537</v>
      </c>
      <c r="AX81" s="213">
        <v>-0.28890318955086247</v>
      </c>
      <c r="AY81" s="215">
        <v>-2.749426776647499E-2</v>
      </c>
      <c r="AZ81" s="215">
        <v>2.8606898084662793E-2</v>
      </c>
      <c r="BA81" s="215">
        <v>-3.6571432607777427E-2</v>
      </c>
      <c r="BB81" s="203">
        <v>1.1521236844298488</v>
      </c>
      <c r="BC81" s="139">
        <v>249</v>
      </c>
      <c r="BD81" s="204">
        <v>0.9</v>
      </c>
      <c r="BE81" s="139">
        <v>18854.510251737367</v>
      </c>
      <c r="BF81" s="139">
        <v>11000</v>
      </c>
      <c r="BG81" s="205">
        <v>0.65</v>
      </c>
      <c r="BH81" s="205">
        <v>0.65</v>
      </c>
      <c r="BI81" s="204">
        <v>0.2</v>
      </c>
      <c r="BJ81" s="206">
        <v>0.6</v>
      </c>
      <c r="BK81" s="207">
        <v>0.2</v>
      </c>
      <c r="BL81" s="170"/>
    </row>
    <row r="82" spans="1:64" s="210" customFormat="1" ht="24" customHeight="1" x14ac:dyDescent="0.2">
      <c r="A82" s="145"/>
      <c r="B82" s="146" t="s">
        <v>93</v>
      </c>
      <c r="C82" s="175">
        <v>109203300</v>
      </c>
      <c r="D82" s="176">
        <v>38651600</v>
      </c>
      <c r="E82" s="176">
        <v>34459600</v>
      </c>
      <c r="F82" s="176">
        <v>19131200</v>
      </c>
      <c r="G82" s="176">
        <v>10039300</v>
      </c>
      <c r="H82" s="176">
        <v>6023600</v>
      </c>
      <c r="I82" s="176">
        <v>850800</v>
      </c>
      <c r="J82" s="176"/>
      <c r="K82" s="176">
        <v>223000</v>
      </c>
      <c r="L82" s="145"/>
      <c r="M82" s="147"/>
      <c r="N82" s="177">
        <v>495824</v>
      </c>
      <c r="O82" s="177">
        <v>499065</v>
      </c>
      <c r="P82" s="178">
        <v>124015.57279999998</v>
      </c>
      <c r="Q82" s="177">
        <v>21139</v>
      </c>
      <c r="R82" s="179">
        <v>83548.172279191465</v>
      </c>
      <c r="S82" s="179">
        <v>198379.44717999999</v>
      </c>
      <c r="T82" s="180">
        <v>55256</v>
      </c>
      <c r="U82" s="177">
        <v>1294</v>
      </c>
      <c r="V82" s="95">
        <v>1</v>
      </c>
      <c r="W82" s="178">
        <v>14002820.429999994</v>
      </c>
      <c r="X82" s="179">
        <v>93140757.630000055</v>
      </c>
      <c r="Y82" s="181">
        <v>61673487.849999972</v>
      </c>
      <c r="Z82" s="178">
        <v>2496.0944561453243</v>
      </c>
      <c r="AA82" s="179">
        <v>140.74885503727126</v>
      </c>
      <c r="AB82" s="179">
        <v>293.93063576995064</v>
      </c>
      <c r="AC82" s="179">
        <v>153.21134241182352</v>
      </c>
      <c r="AD82" s="179">
        <v>85.235472546710113</v>
      </c>
      <c r="AE82" s="181">
        <v>87.731816935041508</v>
      </c>
      <c r="AF82" s="182">
        <v>3256.9525788461215</v>
      </c>
      <c r="AG82" s="178">
        <v>2529.6291040505034</v>
      </c>
      <c r="AH82" s="179">
        <v>145.76580229429032</v>
      </c>
      <c r="AI82" s="179">
        <v>316.67707122318734</v>
      </c>
      <c r="AJ82" s="179">
        <v>158.77122879785202</v>
      </c>
      <c r="AK82" s="179">
        <v>88.954443509362505</v>
      </c>
      <c r="AL82" s="181">
        <v>102.57597747788358</v>
      </c>
      <c r="AM82" s="182">
        <v>3342.373627353079</v>
      </c>
      <c r="AN82" s="178">
        <v>2512.8617800979137</v>
      </c>
      <c r="AO82" s="179">
        <v>143.25732866578079</v>
      </c>
      <c r="AP82" s="179">
        <v>305.30385349656899</v>
      </c>
      <c r="AQ82" s="179">
        <v>155.99128560483777</v>
      </c>
      <c r="AR82" s="179">
        <v>87.094958028036302</v>
      </c>
      <c r="AS82" s="181">
        <v>95.153897206462545</v>
      </c>
      <c r="AT82" s="182">
        <v>3299.6631030996</v>
      </c>
      <c r="AU82" s="149">
        <v>3299.6631030996</v>
      </c>
      <c r="AV82" s="224">
        <v>0.96</v>
      </c>
      <c r="AW82" s="150"/>
      <c r="AX82" s="148"/>
      <c r="AY82" s="148"/>
      <c r="AZ82" s="148"/>
      <c r="BA82" s="148"/>
      <c r="BB82" s="208"/>
      <c r="BC82" s="208"/>
      <c r="BD82" s="209"/>
      <c r="BE82" s="148"/>
      <c r="BF82" s="148"/>
      <c r="BG82" s="148"/>
      <c r="BH82" s="148"/>
      <c r="BI82" s="150"/>
      <c r="BJ82" s="179"/>
      <c r="BK82" s="179"/>
      <c r="BL82" s="183"/>
    </row>
    <row r="83" spans="1:64" hidden="1" x14ac:dyDescent="0.2"/>
    <row r="84" spans="1:64" hidden="1" x14ac:dyDescent="0.2">
      <c r="B84" s="185"/>
    </row>
    <row r="86" spans="1:64" hidden="1" x14ac:dyDescent="0.2"/>
  </sheetData>
  <sheetProtection algorithmName="SHA-512" hashValue="esZsY+5lIRTHtO5ZIFIQPgM3ywmQ0hxpNwlRMDMLjPi5WlI4u/Ee9qRiXwlBfiQkKTIg5JSoBlYMSeu+XM/5zw==" saltValue="jBy+CloZUDNAik9AAbXe4Q==" spinCount="100000" sheet="1" objects="1" scenarios="1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FAG2017</vt:lpstr>
      <vt:lpstr>Basis</vt:lpstr>
    </vt:vector>
  </TitlesOfParts>
  <Company>Kanton St.Gallen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Schaible</dc:creator>
  <cp:lastModifiedBy>Schaible, Bruno</cp:lastModifiedBy>
  <cp:lastPrinted>2014-02-27T06:06:51Z</cp:lastPrinted>
  <dcterms:created xsi:type="dcterms:W3CDTF">2014-01-09T08:02:10Z</dcterms:created>
  <dcterms:modified xsi:type="dcterms:W3CDTF">2018-07-16T10:25:59Z</dcterms:modified>
</cp:coreProperties>
</file>