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5 Finanzausgleich\54 Vollzug\54-02X_FAG 2015\Alle Stufen\"/>
    </mc:Choice>
  </mc:AlternateContent>
  <bookViews>
    <workbookView xWindow="0" yWindow="-15" windowWidth="25245" windowHeight="6900"/>
  </bookViews>
  <sheets>
    <sheet name="FAG2015" sheetId="2" r:id="rId1"/>
    <sheet name="Basis" sheetId="1" r:id="rId2"/>
  </sheets>
  <calcPr calcId="152511" concurrentCalc="0"/>
</workbook>
</file>

<file path=xl/calcChain.xml><?xml version="1.0" encoding="utf-8"?>
<calcChain xmlns="http://schemas.openxmlformats.org/spreadsheetml/2006/main">
  <c r="B102" i="2" l="1"/>
  <c r="B100" i="2"/>
  <c r="B106" i="2"/>
  <c r="B91" i="2"/>
  <c r="B85" i="2"/>
  <c r="B83" i="2"/>
  <c r="B74" i="2"/>
  <c r="B66" i="2"/>
  <c r="B63" i="2"/>
  <c r="B61" i="2"/>
  <c r="B53" i="2"/>
  <c r="B45" i="2"/>
  <c r="B38" i="2"/>
  <c r="B32" i="2"/>
  <c r="B29" i="2"/>
  <c r="B22" i="2"/>
  <c r="B19" i="2"/>
  <c r="B12" i="2"/>
  <c r="B3" i="2"/>
  <c r="E52" i="2"/>
  <c r="E102" i="2"/>
  <c r="D102" i="2"/>
  <c r="E100" i="2"/>
  <c r="B96" i="2"/>
  <c r="E96" i="2"/>
  <c r="E106" i="2"/>
  <c r="D106" i="2"/>
  <c r="E99" i="2"/>
  <c r="E98" i="2"/>
  <c r="E90" i="2"/>
  <c r="D90" i="2"/>
  <c r="E89" i="2"/>
  <c r="E88" i="2"/>
  <c r="E82" i="2"/>
  <c r="E81" i="2"/>
  <c r="E80" i="2"/>
  <c r="E79" i="2"/>
  <c r="E78" i="2"/>
  <c r="E73" i="2"/>
  <c r="E72" i="2"/>
  <c r="E71" i="2"/>
  <c r="E70" i="2"/>
  <c r="E69" i="2"/>
  <c r="E60" i="2"/>
  <c r="E59" i="2"/>
  <c r="E58" i="2"/>
  <c r="E57" i="2"/>
  <c r="E51" i="2"/>
  <c r="E50" i="2"/>
  <c r="E49" i="2"/>
  <c r="E44" i="2"/>
  <c r="E43" i="2"/>
  <c r="E42" i="2"/>
  <c r="E37" i="2"/>
  <c r="E36" i="2"/>
  <c r="E35" i="2"/>
  <c r="E28" i="2"/>
  <c r="E27" i="2"/>
  <c r="E26" i="2"/>
  <c r="E25" i="2"/>
  <c r="E24" i="2"/>
  <c r="E18" i="2"/>
  <c r="E17" i="2"/>
  <c r="E16" i="2"/>
  <c r="E15" i="2"/>
  <c r="E14" i="2"/>
  <c r="B99" i="2"/>
  <c r="B98" i="2"/>
  <c r="B88" i="2"/>
  <c r="B80" i="2"/>
  <c r="B79" i="2"/>
  <c r="B78" i="2"/>
  <c r="B71" i="2"/>
  <c r="B70" i="2"/>
  <c r="B69" i="2"/>
  <c r="B59" i="2"/>
  <c r="B58" i="2"/>
  <c r="B57" i="2"/>
  <c r="B51" i="2"/>
  <c r="B50" i="2"/>
  <c r="B49" i="2"/>
  <c r="B44" i="2"/>
  <c r="B43" i="2"/>
  <c r="B42" i="2"/>
  <c r="B37" i="2"/>
  <c r="B36" i="2"/>
  <c r="B35" i="2"/>
  <c r="B26" i="2"/>
  <c r="B25" i="2"/>
  <c r="B24" i="2"/>
  <c r="B18" i="2"/>
  <c r="B17" i="2"/>
  <c r="B16" i="2"/>
  <c r="B15" i="2"/>
  <c r="E53" i="2"/>
  <c r="D53" i="2"/>
  <c r="E45" i="2"/>
  <c r="D45" i="2"/>
  <c r="E38" i="2"/>
  <c r="D38" i="2"/>
  <c r="E74" i="2"/>
  <c r="D74" i="2"/>
  <c r="E19" i="2"/>
  <c r="E110" i="2"/>
  <c r="E29" i="2"/>
  <c r="E111" i="2"/>
  <c r="E83" i="2"/>
  <c r="D83" i="2"/>
  <c r="E91" i="2"/>
  <c r="D91" i="2"/>
  <c r="E61" i="2"/>
  <c r="E116" i="2"/>
  <c r="D100" i="2"/>
  <c r="E115" i="2"/>
  <c r="D89" i="2"/>
  <c r="E117" i="2"/>
  <c r="E63" i="2"/>
  <c r="D63" i="2"/>
  <c r="D29" i="2"/>
  <c r="E85" i="2"/>
  <c r="E112" i="2"/>
  <c r="E114" i="2"/>
  <c r="D61" i="2"/>
  <c r="E113" i="2"/>
  <c r="E118" i="2"/>
  <c r="E119" i="2"/>
  <c r="D85" i="2"/>
</calcChain>
</file>

<file path=xl/sharedStrings.xml><?xml version="1.0" encoding="utf-8"?>
<sst xmlns="http://schemas.openxmlformats.org/spreadsheetml/2006/main" count="368" uniqueCount="234">
  <si>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</si>
  <si>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</si>
  <si>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</si>
  <si>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</si>
  <si>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</si>
  <si>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</si>
  <si>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beschlossener Steuerfuss 2012</t>
  </si>
  <si>
    <t>Einwohnerzahl am 31.12.12</t>
  </si>
  <si>
    <t>Nettoaufwand für Pflegekinder in Pflegefamilien</t>
  </si>
  <si>
    <t>Nettoaufwand für sozialpäd. Familienbegleitung</t>
  </si>
  <si>
    <t>Nettoaufwand für finanzielle Sozialhilfe</t>
  </si>
  <si>
    <t>Nettoaufwand für Mutterschafts-beiträge</t>
  </si>
  <si>
    <t>Nettoaufwand für Alimenten-bevorschussung</t>
  </si>
  <si>
    <t>Nettoaufwand für abreitsmarktliche Projekte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</si>
  <si>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</si>
  <si>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</si>
  <si>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</si>
  <si>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</si>
  <si>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</si>
  <si>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</si>
  <si>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</si>
  <si>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pro gewichtetem Strassenkilometer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</si>
  <si>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</si>
  <si>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</si>
  <si>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</si>
  <si>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</si>
  <si>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</si>
  <si>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</si>
  <si>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</si>
  <si>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</si>
  <si>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</si>
  <si>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</si>
  <si>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</si>
  <si>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</si>
  <si>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</si>
  <si>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</si>
  <si>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</si>
  <si>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</si>
  <si>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</si>
  <si>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</si>
  <si>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</si>
  <si>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</si>
  <si>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</si>
  <si>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</si>
  <si>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</si>
  <si>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</si>
  <si>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</si>
  <si>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</si>
  <si>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</si>
  <si>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</si>
  <si>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</si>
  <si>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</si>
  <si>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</si>
  <si>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</si>
  <si>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</si>
  <si>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</si>
  <si>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</si>
  <si>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</si>
  <si>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</si>
  <si>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</si>
  <si>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</si>
  <si>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</si>
  <si>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</si>
  <si>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</si>
  <si>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</si>
  <si>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</si>
  <si>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</si>
  <si>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</si>
  <si>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</si>
  <si>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</si>
  <si>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</si>
  <si>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</si>
  <si>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</si>
  <si>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</si>
  <si>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</si>
  <si>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</si>
  <si>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</si>
  <si>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</si>
  <si>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</si>
  <si>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</si>
  <si>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</si>
  <si>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</si>
  <si>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</si>
  <si>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</si>
  <si>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</si>
  <si>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</si>
  <si>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</si>
  <si>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</si>
  <si>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</si>
  <si>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</si>
  <si>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</si>
  <si>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</si>
  <si>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</si>
  <si>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</si>
  <si>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</si>
  <si>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</si>
  <si>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</si>
  <si>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</si>
  <si>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</si>
  <si>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</si>
  <si>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</si>
  <si>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</si>
  <si>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</si>
  <si>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</si>
  <si>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</si>
  <si>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</si>
  <si>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</si>
  <si>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</si>
  <si>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</si>
  <si>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>) x 
(0.83 x SF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+ 0.17 x 150 Prozent) x BEV</t>
    </r>
    <r>
      <rPr>
        <vertAlign val="subscript"/>
        <sz val="10"/>
        <rFont val="Arial"/>
        <family val="2"/>
      </rPr>
      <t>Gemeinde</t>
    </r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</si>
  <si>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</si>
  <si>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</si>
  <si>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</si>
  <si>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</si>
  <si>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</si>
  <si>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</si>
  <si>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SF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</si>
  <si>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</si>
  <si>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</si>
  <si>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</si>
  <si>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</si>
  <si>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t>Formel gemäss Anhang 2 FAG</t>
  </si>
  <si>
    <r>
      <t>Str</t>
    </r>
    <r>
      <rPr>
        <vertAlign val="subscript"/>
        <sz val="10"/>
        <rFont val="Arial"/>
        <family val="2"/>
      </rPr>
      <t>Gemeinde</t>
    </r>
  </si>
  <si>
    <t>km</t>
  </si>
  <si>
    <r>
      <t>Str</t>
    </r>
    <r>
      <rPr>
        <vertAlign val="subscript"/>
        <sz val="10"/>
        <rFont val="Arial"/>
        <family val="2"/>
      </rPr>
      <t>Kanton</t>
    </r>
  </si>
  <si>
    <t>Pauschalbetrag je gewichtetem Strassenkilometer, teuerungsbereinigt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</si>
  <si>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</si>
  <si>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</si>
  <si>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</si>
  <si>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Soziodemographischer Sonderlastenausgleich (Art. 17a -17i FAG)</t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</si>
  <si>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</si>
  <si>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</si>
  <si>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</si>
  <si>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</si>
  <si>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</si>
  <si>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</si>
  <si>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Faktor für Ermittlung des Ausgleichsbeitrages im Jahr 2014 (Abschnitt IV Art. 1 Bst. a der Übergangsbestimmungen FAG)</t>
  </si>
  <si>
    <t>Wert</t>
  </si>
  <si>
    <t>d) Ambulante Pflege</t>
  </si>
  <si>
    <t>Formel gemäss Anhang Abschnitt IV Art. 3 der Übergangsbestimmungen FAG</t>
  </si>
  <si>
    <t>Pauschalbetrag je Einwohner/in mit zurückgelegtem 80. Altersjahr</t>
  </si>
  <si>
    <r>
      <t>M</t>
    </r>
    <r>
      <rPr>
        <vertAlign val="subscript"/>
        <sz val="10"/>
        <rFont val="Arial"/>
        <family val="2"/>
      </rPr>
      <t>Amb</t>
    </r>
  </si>
  <si>
    <t>Sonderlastenausgleich Schule (Art. 18 - 23 FAG)</t>
  </si>
  <si>
    <t>a) Volksschule</t>
  </si>
  <si>
    <t>Formel gemäss Anhang 3a FAG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</si>
  <si>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</si>
  <si>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</si>
  <si>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</si>
  <si>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</si>
  <si>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</si>
  <si>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</si>
  <si>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</si>
  <si>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</si>
  <si>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Basis: 7'500'000</t>
  </si>
  <si>
    <t>Beitrag nach Art. 25 Abs. 2 FAG, teuerungsbereinigt</t>
  </si>
  <si>
    <t>Basis: 9'000'000</t>
  </si>
  <si>
    <t>2. Stufe Finanzausgleich (Art. 31 bis 43 FAG)</t>
  </si>
  <si>
    <t>Formel gemäss Anhang 4 FAG</t>
  </si>
  <si>
    <t>Ausgleichsgrenze nach Art. 35 Abs. 2 FAG</t>
  </si>
  <si>
    <t>oder</t>
  </si>
  <si>
    <t>gemäss Regierungsbeschluss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</si>
  <si>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</si>
  <si>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</si>
  <si>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</si>
  <si>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</si>
  <si>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</si>
  <si>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</si>
  <si>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</si>
  <si>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</si>
  <si>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</si>
  <si>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</si>
  <si>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</si>
  <si>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</si>
  <si>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</si>
  <si>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</si>
  <si>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Faktoren</t>
  </si>
  <si>
    <t>Partieller Steuerfuss-ausgleich</t>
  </si>
  <si>
    <t>Individueller Sonderlasten-ausgleich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</si>
  <si>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</si>
  <si>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</si>
  <si>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</si>
  <si>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</si>
  <si>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</si>
  <si>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</si>
  <si>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t>Beitrag je über-durchschnittlichem Schüler der Volksschule</t>
  </si>
  <si>
    <t>Beitrag je über-durchschnittlichem Schüler der Sonderschule</t>
  </si>
  <si>
    <t>Beitrag je über-durchschnittlichem Betagtem</t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</si>
  <si>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(Str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Str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Str</t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</si>
  <si>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</si>
  <si>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</si>
  <si>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</si>
  <si>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Amb</t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</si>
  <si>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</si>
  <si>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</si>
  <si>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0.5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</si>
  <si>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</si>
  <si>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</si>
  <si>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</si>
  <si>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</si>
  <si>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</si>
  <si>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t>Technische Steuerkraft im Durchschnitt von 2012</t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</si>
  <si>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</si>
  <si>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</si>
  <si>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</si>
  <si>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</si>
  <si>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</si>
  <si>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</si>
  <si>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</si>
  <si>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</si>
  <si>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</si>
  <si>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</si>
  <si>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</si>
  <si>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</si>
  <si>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</si>
  <si>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</si>
  <si>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</si>
  <si>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</si>
  <si>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</si>
  <si>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</si>
  <si>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</si>
  <si>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beschlossener Steuerfuss 2013</t>
  </si>
  <si>
    <t>Einwohnerzahl am 31.12.13</t>
  </si>
  <si>
    <t>Einwohnerzahl mit Alter &gt; 80 am 31.12.13</t>
  </si>
  <si>
    <t>gewichtete Strassenlänge am 31.12.13</t>
  </si>
  <si>
    <t>Schülerzahl der Volksschule am 31.12.13</t>
  </si>
  <si>
    <t>Schülerzahl der Sonderschule am 31.12.13</t>
  </si>
  <si>
    <t>Technische Steuerkraft im Durchschnitt von 2013</t>
  </si>
  <si>
    <t>Technische Steuerkraft im Durchschnitt von 2012/2013</t>
  </si>
  <si>
    <t>Zusammenzug definitive Beiträge</t>
  </si>
  <si>
    <t>Finanzausgleich 2015 (2. Stufe Gemeinde Flawil noch provisorisch)</t>
  </si>
  <si>
    <t>Juni-Index 2013 der Konsumentenpreise</t>
  </si>
  <si>
    <t>Partieller Steuerfussausgleich</t>
  </si>
  <si>
    <t>Individueller Sonderlastenausgleich</t>
  </si>
  <si>
    <t>Total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</si>
</sst>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0" fontId="0" fillId="3" borderId="0" xfId="2" applyNumberFormat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13" xfId="0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7" fontId="0" fillId="3" borderId="0" xfId="1" applyNumberFormat="1" applyFont="1" applyFill="1" applyAlignment="1" applyProtection="1">
      <alignment vertical="center"/>
      <protection hidden="1"/>
    </xf>
    <xf numFmtId="164" fontId="0" fillId="3" borderId="0" xfId="1" applyNumberFormat="1" applyFont="1" applyFill="1" applyAlignment="1" applyProtection="1">
      <alignment vertical="center"/>
      <protection hidden="1"/>
    </xf>
    <xf numFmtId="43" fontId="0" fillId="3" borderId="0" xfId="1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43" fontId="0" fillId="4" borderId="0" xfId="1" applyFont="1" applyFill="1" applyAlignment="1" applyProtection="1">
      <alignment vertical="center"/>
      <protection hidden="1"/>
    </xf>
    <xf numFmtId="43" fontId="0" fillId="4" borderId="10" xfId="0" applyNumberForma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3" fontId="5" fillId="5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43" fontId="0" fillId="5" borderId="0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4" fillId="0" borderId="0" xfId="1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protection hidden="1"/>
    </xf>
    <xf numFmtId="0" fontId="4" fillId="0" borderId="10" xfId="0" applyFont="1" applyBorder="1" applyAlignment="1" applyProtection="1">
      <protection hidden="1"/>
    </xf>
    <xf numFmtId="4" fontId="4" fillId="0" borderId="10" xfId="1" applyNumberFormat="1" applyFont="1" applyBorder="1" applyProtection="1">
      <protection hidden="1"/>
    </xf>
    <xf numFmtId="0" fontId="4" fillId="0" borderId="11" xfId="0" applyFont="1" applyBorder="1" applyAlignment="1" applyProtection="1">
      <protection hidden="1"/>
    </xf>
    <xf numFmtId="4" fontId="4" fillId="0" borderId="4" xfId="1" applyNumberFormat="1" applyFont="1" applyBorder="1" applyProtection="1">
      <protection hidden="1"/>
    </xf>
    <xf numFmtId="4" fontId="4" fillId="0" borderId="6" xfId="1" applyNumberFormat="1" applyFont="1" applyBorder="1" applyProtection="1">
      <protection hidden="1"/>
    </xf>
    <xf numFmtId="4" fontId="4" fillId="0" borderId="21" xfId="1" applyNumberFormat="1" applyFont="1" applyBorder="1" applyProtection="1">
      <protection hidden="1"/>
    </xf>
    <xf numFmtId="4" fontId="4" fillId="0" borderId="9" xfId="1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4" fontId="4" fillId="0" borderId="10" xfId="1" applyNumberFormat="1" applyFont="1" applyBorder="1" applyAlignment="1" applyProtection="1">
      <alignment horizontal="right"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4" fontId="4" fillId="0" borderId="9" xfId="1" applyNumberFormat="1" applyFont="1" applyBorder="1" applyAlignment="1" applyProtection="1">
      <alignment horizontal="right" textRotation="90" wrapText="1"/>
      <protection hidden="1"/>
    </xf>
    <xf numFmtId="4" fontId="4" fillId="0" borderId="21" xfId="1" applyNumberFormat="1" applyFont="1" applyBorder="1" applyAlignment="1" applyProtection="1">
      <alignment horizontal="right" textRotation="90" wrapText="1"/>
      <protection hidden="1"/>
    </xf>
    <xf numFmtId="4" fontId="4" fillId="0" borderId="11" xfId="1" applyNumberFormat="1" applyFont="1" applyBorder="1" applyAlignment="1" applyProtection="1">
      <alignment horizontal="right"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164" fontId="4" fillId="0" borderId="4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3" fontId="4" fillId="0" borderId="6" xfId="0" applyNumberFormat="1" applyFont="1" applyBorder="1" applyProtection="1">
      <protection hidden="1"/>
    </xf>
    <xf numFmtId="164" fontId="4" fillId="0" borderId="5" xfId="1" applyNumberFormat="1" applyFont="1" applyBorder="1" applyProtection="1">
      <protection hidden="1"/>
    </xf>
    <xf numFmtId="9" fontId="4" fillId="0" borderId="4" xfId="2" applyNumberFormat="1" applyFont="1" applyBorder="1" applyProtection="1">
      <protection hidden="1"/>
    </xf>
    <xf numFmtId="9" fontId="4" fillId="0" borderId="6" xfId="0" applyNumberFormat="1" applyFont="1" applyBorder="1" applyProtection="1">
      <protection hidden="1"/>
    </xf>
    <xf numFmtId="165" fontId="4" fillId="0" borderId="22" xfId="1" applyNumberFormat="1" applyFont="1" applyBorder="1" applyProtection="1">
      <protection hidden="1"/>
    </xf>
    <xf numFmtId="3" fontId="4" fillId="0" borderId="4" xfId="0" applyNumberFormat="1" applyFont="1" applyBorder="1" applyProtection="1">
      <protection hidden="1"/>
    </xf>
    <xf numFmtId="4" fontId="4" fillId="0" borderId="4" xfId="0" applyNumberFormat="1" applyFont="1" applyBorder="1" applyProtection="1">
      <protection hidden="1"/>
    </xf>
    <xf numFmtId="4" fontId="4" fillId="0" borderId="6" xfId="0" applyNumberFormat="1" applyFont="1" applyBorder="1" applyProtection="1">
      <protection hidden="1"/>
    </xf>
    <xf numFmtId="4" fontId="4" fillId="0" borderId="5" xfId="0" applyNumberFormat="1" applyFont="1" applyBorder="1" applyProtection="1">
      <protection hidden="1"/>
    </xf>
    <xf numFmtId="43" fontId="4" fillId="0" borderId="22" xfId="1" applyFont="1" applyBorder="1" applyProtection="1">
      <protection hidden="1"/>
    </xf>
    <xf numFmtId="43" fontId="4" fillId="0" borderId="4" xfId="1" applyFont="1" applyBorder="1" applyProtection="1">
      <protection hidden="1"/>
    </xf>
    <xf numFmtId="166" fontId="4" fillId="0" borderId="4" xfId="2" applyNumberFormat="1" applyFont="1" applyBorder="1" applyProtection="1">
      <protection hidden="1"/>
    </xf>
    <xf numFmtId="10" fontId="4" fillId="0" borderId="5" xfId="2" applyNumberFormat="1" applyFont="1" applyBorder="1" applyProtection="1">
      <protection hidden="1"/>
    </xf>
    <xf numFmtId="166" fontId="4" fillId="0" borderId="22" xfId="2" applyNumberFormat="1" applyFont="1" applyBorder="1" applyProtection="1">
      <protection hidden="1"/>
    </xf>
    <xf numFmtId="1" fontId="4" fillId="2" borderId="7" xfId="0" applyNumberFormat="1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 wrapText="1"/>
      <protection hidden="1"/>
    </xf>
    <xf numFmtId="164" fontId="4" fillId="2" borderId="7" xfId="1" applyNumberFormat="1" applyFont="1" applyFill="1" applyBorder="1" applyProtection="1">
      <protection hidden="1"/>
    </xf>
    <xf numFmtId="164" fontId="4" fillId="2" borderId="0" xfId="1" applyNumberFormat="1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164" fontId="4" fillId="2" borderId="8" xfId="1" applyNumberFormat="1" applyFont="1" applyFill="1" applyBorder="1" applyProtection="1">
      <protection hidden="1"/>
    </xf>
    <xf numFmtId="9" fontId="4" fillId="2" borderId="7" xfId="2" applyNumberFormat="1" applyFont="1" applyFill="1" applyBorder="1" applyProtection="1">
      <protection hidden="1"/>
    </xf>
    <xf numFmtId="9" fontId="4" fillId="2" borderId="0" xfId="0" applyNumberFormat="1" applyFont="1" applyFill="1" applyBorder="1" applyProtection="1">
      <protection hidden="1"/>
    </xf>
    <xf numFmtId="165" fontId="4" fillId="2" borderId="23" xfId="1" applyNumberFormat="1" applyFont="1" applyFill="1" applyBorder="1" applyProtection="1">
      <protection hidden="1"/>
    </xf>
    <xf numFmtId="3" fontId="4" fillId="2" borderId="7" xfId="0" applyNumberFormat="1" applyFont="1" applyFill="1" applyBorder="1" applyProtection="1">
      <protection hidden="1"/>
    </xf>
    <xf numFmtId="3" fontId="4" fillId="2" borderId="0" xfId="0" applyNumberFormat="1" applyFont="1" applyFill="1" applyBorder="1" applyProtection="1">
      <protection hidden="1"/>
    </xf>
    <xf numFmtId="4" fontId="4" fillId="2" borderId="7" xfId="0" applyNumberFormat="1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4" fontId="4" fillId="2" borderId="0" xfId="1" applyNumberFormat="1" applyFont="1" applyFill="1" applyBorder="1" applyProtection="1">
      <protection hidden="1"/>
    </xf>
    <xf numFmtId="4" fontId="4" fillId="2" borderId="8" xfId="0" applyNumberFormat="1" applyFont="1" applyFill="1" applyBorder="1" applyProtection="1">
      <protection hidden="1"/>
    </xf>
    <xf numFmtId="43" fontId="4" fillId="2" borderId="23" xfId="1" applyFont="1" applyFill="1" applyBorder="1" applyProtection="1">
      <protection hidden="1"/>
    </xf>
    <xf numFmtId="43" fontId="4" fillId="2" borderId="7" xfId="1" applyFont="1" applyFill="1" applyBorder="1" applyProtection="1">
      <protection hidden="1"/>
    </xf>
    <xf numFmtId="166" fontId="4" fillId="2" borderId="7" xfId="2" applyNumberFormat="1" applyFont="1" applyFill="1" applyBorder="1" applyProtection="1">
      <protection hidden="1"/>
    </xf>
    <xf numFmtId="10" fontId="4" fillId="2" borderId="8" xfId="2" applyNumberFormat="1" applyFont="1" applyFill="1" applyBorder="1" applyProtection="1">
      <protection hidden="1"/>
    </xf>
    <xf numFmtId="0" fontId="4" fillId="2" borderId="23" xfId="0" applyFont="1" applyFill="1" applyBorder="1" applyProtection="1"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164" fontId="4" fillId="0" borderId="7" xfId="1" applyNumberFormat="1" applyFont="1" applyBorder="1" applyProtection="1">
      <protection hidden="1"/>
    </xf>
    <xf numFmtId="164" fontId="4" fillId="0" borderId="8" xfId="1" applyNumberFormat="1" applyFont="1" applyBorder="1" applyProtection="1">
      <protection hidden="1"/>
    </xf>
    <xf numFmtId="9" fontId="4" fillId="0" borderId="7" xfId="2" applyNumberFormat="1" applyFont="1" applyBorder="1" applyProtection="1">
      <protection hidden="1"/>
    </xf>
    <xf numFmtId="9" fontId="4" fillId="0" borderId="0" xfId="0" applyNumberFormat="1" applyFont="1" applyBorder="1" applyProtection="1">
      <protection hidden="1"/>
    </xf>
    <xf numFmtId="165" fontId="4" fillId="0" borderId="23" xfId="1" applyNumberFormat="1" applyFont="1" applyBorder="1" applyProtection="1">
      <protection hidden="1"/>
    </xf>
    <xf numFmtId="3" fontId="4" fillId="0" borderId="7" xfId="0" applyNumberFormat="1" applyFont="1" applyBorder="1" applyProtection="1">
      <protection hidden="1"/>
    </xf>
    <xf numFmtId="3" fontId="4" fillId="0" borderId="0" xfId="0" applyNumberFormat="1" applyFont="1" applyBorder="1" applyProtection="1">
      <protection hidden="1"/>
    </xf>
    <xf numFmtId="4" fontId="4" fillId="0" borderId="7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43" fontId="4" fillId="0" borderId="23" xfId="1" applyFont="1" applyBorder="1" applyProtection="1">
      <protection hidden="1"/>
    </xf>
    <xf numFmtId="43" fontId="4" fillId="0" borderId="7" xfId="1" applyFont="1" applyBorder="1" applyProtection="1">
      <protection hidden="1"/>
    </xf>
    <xf numFmtId="166" fontId="4" fillId="0" borderId="7" xfId="2" applyNumberFormat="1" applyFont="1" applyBorder="1" applyProtection="1">
      <protection hidden="1"/>
    </xf>
    <xf numFmtId="10" fontId="4" fillId="0" borderId="8" xfId="2" applyNumberFormat="1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3" fillId="0" borderId="0" xfId="0" applyFont="1" applyBorder="1" applyProtection="1">
      <protection hidden="1"/>
    </xf>
    <xf numFmtId="43" fontId="4" fillId="0" borderId="6" xfId="1" applyFont="1" applyBorder="1" applyProtection="1">
      <protection hidden="1"/>
    </xf>
    <xf numFmtId="43" fontId="4" fillId="0" borderId="5" xfId="1" applyFont="1" applyBorder="1" applyProtection="1">
      <protection hidden="1"/>
    </xf>
    <xf numFmtId="43" fontId="4" fillId="0" borderId="0" xfId="1" applyFont="1" applyBorder="1" applyProtection="1">
      <protection hidden="1"/>
    </xf>
    <xf numFmtId="43" fontId="4" fillId="2" borderId="0" xfId="1" applyFont="1" applyFill="1" applyBorder="1" applyProtection="1">
      <protection hidden="1"/>
    </xf>
    <xf numFmtId="43" fontId="4" fillId="2" borderId="8" xfId="1" applyFont="1" applyFill="1" applyBorder="1" applyProtection="1">
      <protection hidden="1"/>
    </xf>
    <xf numFmtId="43" fontId="4" fillId="0" borderId="8" xfId="1" applyFont="1" applyBorder="1" applyProtection="1">
      <protection hidden="1"/>
    </xf>
    <xf numFmtId="43" fontId="4" fillId="0" borderId="25" xfId="1" applyFont="1" applyBorder="1" applyProtection="1"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9" xfId="0" applyNumberFormat="1" applyFont="1" applyFill="1" applyBorder="1" applyProtection="1">
      <protection hidden="1"/>
    </xf>
    <xf numFmtId="43" fontId="6" fillId="0" borderId="10" xfId="0" applyNumberFormat="1" applyFont="1" applyFill="1" applyBorder="1" applyProtection="1">
      <protection hidden="1"/>
    </xf>
    <xf numFmtId="43" fontId="6" fillId="0" borderId="11" xfId="0" applyNumberFormat="1" applyFont="1" applyFill="1" applyBorder="1" applyProtection="1">
      <protection hidden="1"/>
    </xf>
    <xf numFmtId="43" fontId="6" fillId="0" borderId="21" xfId="0" applyNumberFormat="1" applyFont="1" applyFill="1" applyBorder="1" applyProtection="1">
      <protection hidden="1"/>
    </xf>
    <xf numFmtId="164" fontId="6" fillId="0" borderId="9" xfId="1" applyNumberFormat="1" applyFont="1" applyFill="1" applyBorder="1" applyProtection="1">
      <protection hidden="1"/>
    </xf>
    <xf numFmtId="164" fontId="6" fillId="0" borderId="10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4" fontId="6" fillId="0" borderId="11" xfId="0" applyNumberFormat="1" applyFont="1" applyFill="1" applyBorder="1" applyProtection="1">
      <protection hidden="1"/>
    </xf>
    <xf numFmtId="165" fontId="6" fillId="0" borderId="21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0" fontId="6" fillId="0" borderId="21" xfId="0" applyFont="1" applyFill="1" applyBorder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7" customWidth="1"/>
    <col min="2" max="2" width="115.42578125" style="7" customWidth="1"/>
    <col min="3" max="3" width="65.140625" style="7" bestFit="1" customWidth="1"/>
    <col min="4" max="4" width="5.42578125" style="7" customWidth="1"/>
    <col min="5" max="5" width="16.140625" style="7" customWidth="1"/>
    <col min="6" max="6" width="1.85546875" style="7" customWidth="1"/>
    <col min="7" max="20" width="11.42578125" style="7" hidden="1" customWidth="1"/>
    <col min="21" max="21" width="17.85546875" style="61" hidden="1" customWidth="1"/>
    <col min="22" max="16384" width="11.42578125" style="7" hidden="1"/>
  </cols>
  <sheetData>
    <row r="1" spans="1:21" s="1" customFormat="1" ht="15" x14ac:dyDescent="0.2">
      <c r="B1" s="2" t="s">
        <v>102</v>
      </c>
      <c r="C1" s="2"/>
      <c r="D1" s="2"/>
      <c r="U1" s="200" t="s">
        <v>47</v>
      </c>
    </row>
    <row r="2" spans="1:21" s="1" customFormat="1" ht="27.75" customHeight="1" x14ac:dyDescent="0.2">
      <c r="B2" s="4" t="s">
        <v>103</v>
      </c>
      <c r="C2" s="4"/>
      <c r="D2" s="4"/>
      <c r="U2" s="149" t="s">
        <v>65</v>
      </c>
    </row>
    <row r="3" spans="1:21" s="1" customFormat="1" ht="35.25" customHeight="1" x14ac:dyDescent="0.2">
      <c r="B3" s="5" t="str">
        <f>CONCATENATE("Definitive Finanzausgleichsbeiträge ",$C$7)</f>
        <v>Definitive Finanzausgleichsbeiträge 2015</v>
      </c>
      <c r="C3" s="5"/>
      <c r="D3" s="5"/>
      <c r="U3" s="169" t="s">
        <v>98</v>
      </c>
    </row>
    <row r="4" spans="1:21" s="1" customFormat="1" x14ac:dyDescent="0.2">
      <c r="U4" s="169" t="s">
        <v>40</v>
      </c>
    </row>
    <row r="5" spans="1:21" s="1" customFormat="1" ht="15.75" x14ac:dyDescent="0.2">
      <c r="B5" s="4" t="s">
        <v>104</v>
      </c>
      <c r="C5" s="190"/>
      <c r="S5" s="3"/>
      <c r="T5" s="3"/>
      <c r="U5" s="149" t="s">
        <v>59</v>
      </c>
    </row>
    <row r="6" spans="1:21" s="1" customFormat="1" x14ac:dyDescent="0.2">
      <c r="B6" s="4"/>
      <c r="S6" s="3"/>
      <c r="T6" s="3"/>
      <c r="U6" s="169" t="s">
        <v>42</v>
      </c>
    </row>
    <row r="7" spans="1:21" s="1" customFormat="1" ht="15.75" x14ac:dyDescent="0.2">
      <c r="B7" s="4" t="s">
        <v>105</v>
      </c>
      <c r="C7" s="201">
        <v>2015</v>
      </c>
      <c r="S7" s="3"/>
      <c r="T7" s="3"/>
      <c r="U7" s="169" t="s">
        <v>68</v>
      </c>
    </row>
    <row r="8" spans="1:21" ht="15" customHeight="1" thickBot="1" x14ac:dyDescent="0.25">
      <c r="G8" s="191"/>
      <c r="U8" s="149" t="s">
        <v>31</v>
      </c>
    </row>
    <row r="9" spans="1:21" s="10" customFormat="1" ht="22.5" customHeight="1" thickBot="1" x14ac:dyDescent="0.25">
      <c r="A9" s="8"/>
      <c r="B9" s="9" t="s">
        <v>106</v>
      </c>
      <c r="C9" s="8"/>
      <c r="D9" s="8"/>
      <c r="E9" s="8"/>
      <c r="F9" s="8"/>
      <c r="U9" s="149" t="s">
        <v>41</v>
      </c>
    </row>
    <row r="10" spans="1:21" ht="5.25" customHeight="1" x14ac:dyDescent="0.25">
      <c r="A10" s="11"/>
      <c r="B10" s="12"/>
      <c r="C10" s="11"/>
      <c r="D10" s="11"/>
      <c r="E10" s="11"/>
      <c r="F10" s="11"/>
      <c r="U10" s="169" t="s">
        <v>54</v>
      </c>
    </row>
    <row r="11" spans="1:21" s="1" customFormat="1" ht="22.5" customHeight="1" x14ac:dyDescent="0.2">
      <c r="A11" s="13"/>
      <c r="B11" s="14" t="s">
        <v>107</v>
      </c>
      <c r="C11" s="15"/>
      <c r="D11" s="15"/>
      <c r="E11" s="13"/>
      <c r="F11" s="13"/>
      <c r="U11" s="149" t="s">
        <v>83</v>
      </c>
    </row>
    <row r="12" spans="1:21" s="1" customFormat="1" ht="22.5" customHeight="1" x14ac:dyDescent="0.2">
      <c r="A12" s="16"/>
      <c r="B12" s="17" t="str">
        <f>CONCATENATE("Politische Gemeinde ",$C$5," ",$C$7,"; Definitive Daten")</f>
        <v>Politische Gemeinde  2015; Definitive Daten</v>
      </c>
      <c r="C12" s="16"/>
      <c r="D12" s="16"/>
      <c r="E12" s="16"/>
      <c r="F12" s="16"/>
      <c r="U12" s="149" t="s">
        <v>91</v>
      </c>
    </row>
    <row r="13" spans="1:21" s="1" customFormat="1" ht="34.5" customHeight="1" x14ac:dyDescent="0.2">
      <c r="A13" s="18"/>
      <c r="B13" s="19" t="s">
        <v>108</v>
      </c>
      <c r="C13" s="20" t="s">
        <v>109</v>
      </c>
      <c r="D13" s="20"/>
      <c r="E13" s="18"/>
      <c r="F13" s="18"/>
      <c r="U13" s="149" t="s">
        <v>43</v>
      </c>
    </row>
    <row r="14" spans="1:21" ht="17.25" customHeight="1" x14ac:dyDescent="0.2">
      <c r="A14" s="21"/>
      <c r="B14" s="22" t="s">
        <v>110</v>
      </c>
      <c r="C14" s="22" t="s">
        <v>111</v>
      </c>
      <c r="D14" s="22" t="s">
        <v>112</v>
      </c>
      <c r="E14" s="23" t="e">
        <f>VLOOKUP($C$5,Basis!$B$5:$BC$81,49,FALSE)</f>
        <v>#N/A</v>
      </c>
      <c r="F14" s="21"/>
      <c r="U14" s="149" t="s">
        <v>77</v>
      </c>
    </row>
    <row r="15" spans="1:21" ht="17.25" customHeight="1" x14ac:dyDescent="0.3">
      <c r="A15" s="24"/>
      <c r="B15" s="22" t="str">
        <f>CONCATENATE("Kantonaler Durchschnitt der technischen Steuerkraft der Jahre ",$C$7-3," und ",$C$7-2)</f>
        <v>Kantonaler Durchschnitt der technischen Steuerkraft der Jahre 2012 und 2013</v>
      </c>
      <c r="C15" s="22" t="s">
        <v>113</v>
      </c>
      <c r="D15" s="22" t="s">
        <v>114</v>
      </c>
      <c r="E15" s="25" t="e">
        <f>VLOOKUP($C$5,Basis!$B$5:$BC$81,48,FALSE)</f>
        <v>#N/A</v>
      </c>
      <c r="F15" s="24"/>
      <c r="U15" s="169" t="s">
        <v>34</v>
      </c>
    </row>
    <row r="16" spans="1:21" ht="17.25" customHeight="1" x14ac:dyDescent="0.3">
      <c r="A16" s="24"/>
      <c r="B16" s="22" t="str">
        <f>CONCATENATE("Durchschnitt der technischen Steuerkraft der Gemeinde ",$C$5," in den Jahren ",$C$7-3," und ",$C$7-2)</f>
        <v>Durchschnitt der technischen Steuerkraft der Gemeinde  in den Jahren 2012 und 2013</v>
      </c>
      <c r="C16" s="22" t="s">
        <v>115</v>
      </c>
      <c r="D16" s="22" t="s">
        <v>114</v>
      </c>
      <c r="E16" s="25" t="e">
        <f>VLOOKUP($C$5,Basis!$B$5:$BC$81,47,FALSE)</f>
        <v>#N/A</v>
      </c>
      <c r="F16" s="24"/>
      <c r="U16" s="169" t="s">
        <v>48</v>
      </c>
    </row>
    <row r="17" spans="1:21" ht="17.25" customHeight="1" x14ac:dyDescent="0.3">
      <c r="A17" s="24"/>
      <c r="B17" s="22" t="str">
        <f>CONCATENATE("Durchschnittlicher Steuerfuss der Gemeinde ",$C$5," in den Jahren ",$C$7-3," und ",$C$7-2)</f>
        <v>Durchschnittlicher Steuerfuss der Gemeinde  in den Jahren 2012 und 2013</v>
      </c>
      <c r="C17" s="22" t="s">
        <v>116</v>
      </c>
      <c r="D17" s="22" t="s">
        <v>112</v>
      </c>
      <c r="E17" s="26" t="e">
        <f>AVERAGE(VLOOKUP($C$5,Basis!$B$5:$BC$81,11,FALSE),VLOOKUP($C$5,Basis!$B$5:$BC$81,12,FALSE))</f>
        <v>#N/A</v>
      </c>
      <c r="F17" s="24"/>
      <c r="U17" s="169" t="s">
        <v>74</v>
      </c>
    </row>
    <row r="18" spans="1:21" ht="17.25" customHeight="1" x14ac:dyDescent="0.3">
      <c r="A18" s="24"/>
      <c r="B18" s="22" t="str">
        <f>CONCATENATE("Einwohnerzahl der Gemeinde ",$C$5," Ende ",$C$7-3)</f>
        <v>Einwohnerzahl der Gemeinde  Ende 2012</v>
      </c>
      <c r="C18" s="22" t="s">
        <v>117</v>
      </c>
      <c r="D18" s="22" t="s">
        <v>118</v>
      </c>
      <c r="E18" s="27" t="e">
        <f>VLOOKUP($C$5,Basis!$B$5:$BC$81,13,FALSE)</f>
        <v>#N/A</v>
      </c>
      <c r="F18" s="24"/>
      <c r="U18" s="169" t="s">
        <v>90</v>
      </c>
    </row>
    <row r="19" spans="1:21" s="1" customFormat="1" ht="22.5" customHeight="1" x14ac:dyDescent="0.2">
      <c r="A19" s="28"/>
      <c r="B19" s="29" t="str">
        <f>CONCATENATE("Definitiver Beitrag an die Gemeinde ",$C$5," aus dem Ressourcenausgleich ",$C$7)</f>
        <v>Definitiver Beitrag an die Gemeinde  aus dem Ressourcenausgleich 2015</v>
      </c>
      <c r="C19" s="28" t="s">
        <v>119</v>
      </c>
      <c r="D19" s="28" t="s">
        <v>114</v>
      </c>
      <c r="E19" s="30" t="e">
        <f>IF(E16&lt;E14*E15,ROUND((E14*E15-E16)*(0.83*E17+0.17*150%)*E18,-2),0)</f>
        <v>#N/A</v>
      </c>
      <c r="F19" s="28"/>
      <c r="U19" s="169" t="s">
        <v>62</v>
      </c>
    </row>
    <row r="20" spans="1:21" ht="5.25" customHeight="1" x14ac:dyDescent="0.2">
      <c r="U20" s="169" t="s">
        <v>100</v>
      </c>
    </row>
    <row r="21" spans="1:21" s="4" customFormat="1" ht="22.5" customHeight="1" x14ac:dyDescent="0.2">
      <c r="A21" s="14"/>
      <c r="B21" s="14" t="s">
        <v>120</v>
      </c>
      <c r="C21" s="14"/>
      <c r="D21" s="14"/>
      <c r="E21" s="14"/>
      <c r="F21" s="14"/>
      <c r="U21" s="169" t="s">
        <v>52</v>
      </c>
    </row>
    <row r="22" spans="1:21" s="4" customFormat="1" ht="22.5" customHeight="1" x14ac:dyDescent="0.2">
      <c r="A22" s="17"/>
      <c r="B22" s="17" t="str">
        <f>CONCATENATE("Politische Gemeinde ",$C$5," ",$C$7,"; Definitive Daten")</f>
        <v>Politische Gemeinde  2015; Definitive Daten</v>
      </c>
      <c r="C22" s="17"/>
      <c r="D22" s="17"/>
      <c r="E22" s="17"/>
      <c r="F22" s="17"/>
      <c r="U22" s="149" t="s">
        <v>29</v>
      </c>
    </row>
    <row r="23" spans="1:21" ht="22.5" customHeight="1" x14ac:dyDescent="0.3">
      <c r="A23" s="31"/>
      <c r="B23" s="32" t="s">
        <v>121</v>
      </c>
      <c r="C23" s="32" t="s">
        <v>187</v>
      </c>
      <c r="D23" s="31"/>
      <c r="E23" s="31"/>
      <c r="F23" s="31"/>
      <c r="U23" s="169" t="s">
        <v>70</v>
      </c>
    </row>
    <row r="24" spans="1:21" s="1" customFormat="1" ht="17.25" customHeight="1" x14ac:dyDescent="0.2">
      <c r="A24" s="33"/>
      <c r="B24" s="33" t="str">
        <f>CONCATENATE("Gewichtete Strassenlänge je Einwohner/in der Gemeinde ",$C$5," per Ende ",$C$7-2)</f>
        <v>Gewichtete Strassenlänge je Einwohner/in der Gemeinde  per Ende 2013</v>
      </c>
      <c r="C24" s="34" t="s">
        <v>122</v>
      </c>
      <c r="D24" s="34" t="s">
        <v>123</v>
      </c>
      <c r="E24" s="35" t="e">
        <f>VLOOKUP($C$5,Basis!$B$5:$BC$81,16,FALSE)/VLOOKUP($C$5,Basis!$B$5:$BC$81,14,FALSE)</f>
        <v>#N/A</v>
      </c>
      <c r="F24" s="33"/>
      <c r="U24" s="149" t="s">
        <v>97</v>
      </c>
    </row>
    <row r="25" spans="1:21" s="1" customFormat="1" ht="17.25" customHeight="1" x14ac:dyDescent="0.2">
      <c r="A25" s="33"/>
      <c r="B25" s="33" t="str">
        <f>CONCATENATE("Gewichtete Strassenlänge je Einwohner/in im kantonalen Durchschnitt per Ende ",$C$7-2)</f>
        <v>Gewichtete Strassenlänge je Einwohner/in im kantonalen Durchschnitt per Ende 2013</v>
      </c>
      <c r="C25" s="34" t="s">
        <v>124</v>
      </c>
      <c r="D25" s="34" t="s">
        <v>123</v>
      </c>
      <c r="E25" s="35">
        <f>Basis!$Q$82/Basis!$O$82</f>
        <v>0.25136758097942036</v>
      </c>
      <c r="F25" s="33"/>
      <c r="U25" s="149" t="s">
        <v>53</v>
      </c>
    </row>
    <row r="26" spans="1:21" s="1" customFormat="1" ht="17.25" customHeight="1" x14ac:dyDescent="0.2">
      <c r="A26" s="33"/>
      <c r="B26" s="34" t="str">
        <f>CONCATENATE("Einwohnerzahl der Gemeinde ",$C$5," Ende ",$C$7-2)</f>
        <v>Einwohnerzahl der Gemeinde  Ende 2013</v>
      </c>
      <c r="C26" s="34" t="s">
        <v>117</v>
      </c>
      <c r="D26" s="34" t="s">
        <v>118</v>
      </c>
      <c r="E26" s="36" t="e">
        <f>VLOOKUP($C$5,Basis!$B$5:$BC$81,14,FALSE)</f>
        <v>#N/A</v>
      </c>
      <c r="F26" s="33"/>
      <c r="U26" s="169" t="s">
        <v>26</v>
      </c>
    </row>
    <row r="27" spans="1:21" s="1" customFormat="1" ht="17.25" customHeight="1" x14ac:dyDescent="0.2">
      <c r="A27" s="33"/>
      <c r="B27" s="34" t="s">
        <v>125</v>
      </c>
      <c r="C27" s="34" t="s">
        <v>126</v>
      </c>
      <c r="D27" s="34" t="s">
        <v>114</v>
      </c>
      <c r="E27" s="37" t="e">
        <f>VLOOKUP($C$5,Basis!$B$5:$BC$81,51,FALSE)</f>
        <v>#N/A</v>
      </c>
      <c r="F27" s="33"/>
      <c r="U27" s="169" t="s">
        <v>82</v>
      </c>
    </row>
    <row r="28" spans="1:21" s="1" customFormat="1" ht="17.25" customHeight="1" x14ac:dyDescent="0.2">
      <c r="A28" s="33"/>
      <c r="B28" s="34" t="s">
        <v>127</v>
      </c>
      <c r="C28" s="34"/>
      <c r="D28" s="34" t="s">
        <v>112</v>
      </c>
      <c r="E28" s="38" t="e">
        <f>VLOOKUP($C$5,Basis!$B$5:$BC$81,50,FALSE)</f>
        <v>#N/A</v>
      </c>
      <c r="F28" s="33"/>
      <c r="U28" s="149" t="s">
        <v>87</v>
      </c>
    </row>
    <row r="29" spans="1:21" s="4" customFormat="1" ht="22.5" customHeight="1" x14ac:dyDescent="0.2">
      <c r="A29" s="28"/>
      <c r="B29" s="29" t="str">
        <f>CONCATENATE("Definitiver Beitrag an die Gemeinde ",$C$5," aus dem Sonderlastenausgleich Weite ",$C$7)</f>
        <v>Definitiver Beitrag an die Gemeinde  aus dem Sonderlastenausgleich Weite 2015</v>
      </c>
      <c r="C29" s="28" t="s">
        <v>128</v>
      </c>
      <c r="D29" s="28" t="e">
        <f>IF(E29&gt;0,"Fr.","")</f>
        <v>#N/A</v>
      </c>
      <c r="E29" s="30" t="e">
        <f>IF(E24&gt;E25,ROUND((E24-E25)*E26*E27+E28*((E24-E25)*E26*E27),-2),0)</f>
        <v>#N/A</v>
      </c>
      <c r="F29" s="28"/>
      <c r="U29" s="149" t="s">
        <v>69</v>
      </c>
    </row>
    <row r="30" spans="1:21" ht="4.5" customHeight="1" x14ac:dyDescent="0.2">
      <c r="U30" s="169" t="s">
        <v>86</v>
      </c>
    </row>
    <row r="31" spans="1:21" s="1" customFormat="1" ht="22.5" customHeight="1" x14ac:dyDescent="0.2">
      <c r="A31" s="14"/>
      <c r="B31" s="14" t="s">
        <v>129</v>
      </c>
      <c r="C31" s="14"/>
      <c r="D31" s="14"/>
      <c r="E31" s="14"/>
      <c r="F31" s="14"/>
      <c r="U31" s="149" t="s">
        <v>79</v>
      </c>
    </row>
    <row r="32" spans="1:21" s="1" customFormat="1" ht="22.5" customHeight="1" x14ac:dyDescent="0.2">
      <c r="A32" s="17"/>
      <c r="B32" s="17" t="str">
        <f>CONCATENATE("Politische Gemeinde ",$C$5," ",$C$7,"; Definitive Daten")</f>
        <v>Politische Gemeinde  2015; Definitive Daten</v>
      </c>
      <c r="C32" s="17"/>
      <c r="D32" s="17"/>
      <c r="E32" s="17"/>
      <c r="F32" s="17"/>
      <c r="U32" s="169" t="s">
        <v>84</v>
      </c>
    </row>
    <row r="33" spans="1:21" s="4" customFormat="1" ht="22.5" customHeight="1" x14ac:dyDescent="0.2">
      <c r="A33" s="39"/>
      <c r="B33" s="39" t="s">
        <v>130</v>
      </c>
      <c r="C33" s="39"/>
      <c r="D33" s="39"/>
      <c r="E33" s="39"/>
      <c r="F33" s="39"/>
      <c r="U33" s="169" t="s">
        <v>46</v>
      </c>
    </row>
    <row r="34" spans="1:21" s="1" customFormat="1" ht="22.5" customHeight="1" x14ac:dyDescent="0.2">
      <c r="A34" s="40"/>
      <c r="B34" s="41" t="s">
        <v>131</v>
      </c>
      <c r="C34" s="41" t="s">
        <v>188</v>
      </c>
      <c r="D34" s="40"/>
      <c r="E34" s="40"/>
      <c r="F34" s="40"/>
      <c r="U34" s="149" t="s">
        <v>61</v>
      </c>
    </row>
    <row r="35" spans="1:21" s="1" customFormat="1" ht="17.25" customHeight="1" x14ac:dyDescent="0.2">
      <c r="A35" s="42"/>
      <c r="B35" s="43" t="str">
        <f>CONCATENATE("Aufwand der Gemeinde ",$C$5," für die Unterbringung von Kindern und Jugendlichen je Einwohner/in im Jahr ",$C$7-2)</f>
        <v>Aufwand der Gemeinde  für die Unterbringung von Kindern und Jugendlichen je Einwohner/in im Jahr 2013</v>
      </c>
      <c r="C35" s="43" t="s">
        <v>201</v>
      </c>
      <c r="D35" s="43" t="s">
        <v>114</v>
      </c>
      <c r="E35" s="44" t="e">
        <f>(VLOOKUP($C$5,Basis!$B$5:$BC$81,19,FALSE)+VLOOKUP($C$5,Basis!$B$5:$BC$81,20,FALSE)+VLOOKUP($C$5,Basis!$B$5:$BC$81,21,FALSE))/VLOOKUP($C$5,Basis!$B$5:$BC$81,14,FALSE)</f>
        <v>#N/A</v>
      </c>
      <c r="F35" s="42"/>
      <c r="U35" s="169" t="s">
        <v>28</v>
      </c>
    </row>
    <row r="36" spans="1:21" s="1" customFormat="1" ht="17.25" customHeight="1" x14ac:dyDescent="0.2">
      <c r="A36" s="42"/>
      <c r="B36" s="43" t="str">
        <f>CONCATENATE("Aufwand für die Unterbringung von Kindern und Jugendlichen je Einwohner/in im kantonalen Durchschnitt im Jahr ",$C$7-2)</f>
        <v>Aufwand für die Unterbringung von Kindern und Jugendlichen je Einwohner/in im kantonalen Durchschnitt im Jahr 2013</v>
      </c>
      <c r="C36" s="43" t="s">
        <v>202</v>
      </c>
      <c r="D36" s="43" t="s">
        <v>114</v>
      </c>
      <c r="E36" s="44">
        <f>SUM(Basis!$T$82:$V$82)/Basis!$O$82</f>
        <v>34.756338735689923</v>
      </c>
      <c r="F36" s="42"/>
      <c r="U36" s="149" t="s">
        <v>85</v>
      </c>
    </row>
    <row r="37" spans="1:21" s="1" customFormat="1" ht="17.25" customHeight="1" x14ac:dyDescent="0.2">
      <c r="A37" s="42"/>
      <c r="B37" s="43" t="str">
        <f>CONCATENATE("Einwohnerzahl der Gemeinde ",$C$5," Ende ",$C$7-2)</f>
        <v>Einwohnerzahl der Gemeinde  Ende 2013</v>
      </c>
      <c r="C37" s="43" t="s">
        <v>203</v>
      </c>
      <c r="D37" s="43" t="s">
        <v>118</v>
      </c>
      <c r="E37" s="45" t="e">
        <f>VLOOKUP($C$5,Basis!$B$5:$BC$81,14,FALSE)</f>
        <v>#N/A</v>
      </c>
      <c r="F37" s="42"/>
      <c r="U37" s="149" t="s">
        <v>27</v>
      </c>
    </row>
    <row r="38" spans="1:21" s="1" customFormat="1" ht="22.5" customHeight="1" x14ac:dyDescent="0.2">
      <c r="A38" s="46"/>
      <c r="B38" s="46" t="str">
        <f>CONCATENATE("Definitiver Beitrag an die Kosten für die Unterbringung von Kindern und Jugendlichen ",$C$7," an die Gemeinde ",$C$5)</f>
        <v xml:space="preserve">Definitiver Beitrag an die Kosten für die Unterbringung von Kindern und Jugendlichen 2015 an die Gemeinde </v>
      </c>
      <c r="C38" s="47" t="s">
        <v>204</v>
      </c>
      <c r="D38" s="46" t="e">
        <f>IF(E38&gt;0,"Fr.","")</f>
        <v>#N/A</v>
      </c>
      <c r="E38" s="48" t="e">
        <f>IF(E35&gt;E36,(E35-E36)*E37*0.55,0)</f>
        <v>#N/A</v>
      </c>
      <c r="F38" s="46"/>
      <c r="U38" s="149" t="s">
        <v>81</v>
      </c>
    </row>
    <row r="39" spans="1:21" ht="5.25" customHeight="1" x14ac:dyDescent="0.2">
      <c r="A39" s="49"/>
      <c r="B39" s="49"/>
      <c r="C39" s="49"/>
      <c r="D39" s="49"/>
      <c r="E39" s="49"/>
      <c r="F39" s="49"/>
      <c r="U39" s="169" t="s">
        <v>76</v>
      </c>
    </row>
    <row r="40" spans="1:21" s="4" customFormat="1" ht="17.25" customHeight="1" x14ac:dyDescent="0.2">
      <c r="A40" s="50"/>
      <c r="B40" s="50" t="s">
        <v>132</v>
      </c>
      <c r="C40" s="50"/>
      <c r="D40" s="50"/>
      <c r="E40" s="50"/>
      <c r="F40" s="50"/>
      <c r="U40" s="149" t="s">
        <v>95</v>
      </c>
    </row>
    <row r="41" spans="1:21" s="1" customFormat="1" ht="22.5" customHeight="1" x14ac:dyDescent="0.2">
      <c r="A41" s="40"/>
      <c r="B41" s="41" t="s">
        <v>133</v>
      </c>
      <c r="C41" s="41" t="s">
        <v>189</v>
      </c>
      <c r="D41" s="40"/>
      <c r="E41" s="40"/>
      <c r="F41" s="40"/>
      <c r="U41" s="169" t="s">
        <v>96</v>
      </c>
    </row>
    <row r="42" spans="1:21" s="1" customFormat="1" ht="17.25" customHeight="1" x14ac:dyDescent="0.2">
      <c r="A42" s="42"/>
      <c r="B42" s="43" t="str">
        <f>CONCATENATE("Aufwand der Gemeinde ",$C$5," für die Sozialhilfe je Einwohner/in im Jahr ",$C$7-2)</f>
        <v>Aufwand der Gemeinde  für die Sozialhilfe je Einwohner/in im Jahr 2013</v>
      </c>
      <c r="C42" s="43" t="s">
        <v>205</v>
      </c>
      <c r="D42" s="43" t="s">
        <v>114</v>
      </c>
      <c r="E42" s="44" t="e">
        <f>(VLOOKUP($C$5,Basis!$B$5:$BC$81,22,FALSE)+VLOOKUP($C$5,Basis!$B$5:$BC$81,23,FALSE)+VLOOKUP($C$5,Basis!$B$5:$BC$81,24,FALSE)+VLOOKUP($C$5,Basis!$B$5:$BC$81,25,FALSE))/VLOOKUP($C$5,Basis!$B$5:$BC$81,14,FALSE)</f>
        <v>#N/A</v>
      </c>
      <c r="F42" s="42"/>
      <c r="U42" s="169" t="s">
        <v>94</v>
      </c>
    </row>
    <row r="43" spans="1:21" s="1" customFormat="1" ht="17.25" customHeight="1" x14ac:dyDescent="0.2">
      <c r="A43" s="42"/>
      <c r="B43" s="43" t="str">
        <f>CONCATENATE("Aufwand für die Sozialhilfe je Einwohner/in im kantonalen Durchschnitt im Jahr ",$C$7-2)</f>
        <v>Aufwand für die Sozialhilfe je Einwohner/in im kantonalen Durchschnitt im Jahr 2013</v>
      </c>
      <c r="C43" s="43" t="s">
        <v>206</v>
      </c>
      <c r="D43" s="43" t="s">
        <v>114</v>
      </c>
      <c r="E43" s="44">
        <f>SUM(Basis!$W$82:$Z$82)/Basis!$O$82</f>
        <v>184.06182886277986</v>
      </c>
      <c r="F43" s="42"/>
      <c r="U43" s="169" t="s">
        <v>80</v>
      </c>
    </row>
    <row r="44" spans="1:21" s="1" customFormat="1" ht="17.25" customHeight="1" x14ac:dyDescent="0.2">
      <c r="A44" s="42"/>
      <c r="B44" s="43" t="str">
        <f>CONCATENATE("Einwohnerzahl der Gemeinde ",$C$5," Ende ",$C$7-2)</f>
        <v>Einwohnerzahl der Gemeinde  Ende 2013</v>
      </c>
      <c r="C44" s="43" t="s">
        <v>203</v>
      </c>
      <c r="D44" s="43" t="s">
        <v>118</v>
      </c>
      <c r="E44" s="45" t="e">
        <f>VLOOKUP($C$5,Basis!$B$5:$BC$81,14,FALSE)</f>
        <v>#N/A</v>
      </c>
      <c r="F44" s="42"/>
      <c r="U44" s="149" t="s">
        <v>49</v>
      </c>
    </row>
    <row r="45" spans="1:21" s="1" customFormat="1" ht="22.5" customHeight="1" x14ac:dyDescent="0.2">
      <c r="A45" s="46"/>
      <c r="B45" s="46" t="str">
        <f>CONCATENATE("Definitiver Beitrag an die Kosten für die Sozialhilfe ",$C$7," an die Gemeinde ",$C$5)</f>
        <v xml:space="preserve">Definitiver Beitrag an die Kosten für die Sozialhilfe 2015 an die Gemeinde </v>
      </c>
      <c r="C45" s="47" t="s">
        <v>207</v>
      </c>
      <c r="D45" s="46" t="e">
        <f>IF(E45&gt;0,"Fr.","")</f>
        <v>#N/A</v>
      </c>
      <c r="E45" s="48" t="e">
        <f>IF(E42&gt;E43,(E42-E43)*E44*0.55,0)</f>
        <v>#N/A</v>
      </c>
      <c r="F45" s="46"/>
      <c r="U45" s="169" t="s">
        <v>88</v>
      </c>
    </row>
    <row r="46" spans="1:21" ht="5.25" customHeight="1" x14ac:dyDescent="0.2">
      <c r="A46" s="51"/>
      <c r="B46" s="49"/>
      <c r="C46" s="49"/>
      <c r="D46" s="49"/>
      <c r="E46" s="49"/>
      <c r="F46" s="49"/>
      <c r="U46" s="169" t="s">
        <v>60</v>
      </c>
    </row>
    <row r="47" spans="1:21" s="4" customFormat="1" ht="22.5" customHeight="1" x14ac:dyDescent="0.2">
      <c r="A47" s="50"/>
      <c r="B47" s="50" t="s">
        <v>134</v>
      </c>
      <c r="C47" s="50"/>
      <c r="D47" s="50"/>
      <c r="E47" s="50"/>
      <c r="F47" s="50"/>
      <c r="U47" s="169" t="s">
        <v>64</v>
      </c>
    </row>
    <row r="48" spans="1:21" s="1" customFormat="1" ht="22.5" customHeight="1" x14ac:dyDescent="0.2">
      <c r="A48" s="40"/>
      <c r="B48" s="41" t="s">
        <v>135</v>
      </c>
      <c r="C48" s="41" t="s">
        <v>190</v>
      </c>
      <c r="D48" s="40"/>
      <c r="E48" s="40"/>
      <c r="F48" s="40"/>
      <c r="U48" s="149" t="s">
        <v>73</v>
      </c>
    </row>
    <row r="49" spans="1:21" s="1" customFormat="1" ht="17.25" customHeight="1" x14ac:dyDescent="0.2">
      <c r="A49" s="42"/>
      <c r="B49" s="43" t="str">
        <f>CONCATENATE("Aufwand der Gemeinde ",$C$5," für die stationäre Pflege je Einwohner/in im Jahr ",$C$7-2)</f>
        <v>Aufwand der Gemeinde  für die stationäre Pflege je Einwohner/in im Jahr 2013</v>
      </c>
      <c r="C49" s="43" t="s">
        <v>208</v>
      </c>
      <c r="D49" s="43" t="s">
        <v>114</v>
      </c>
      <c r="E49" s="44" t="e">
        <f>(VLOOKUP($C$5,Basis!$B$5:$BC$81,26,FALSE)/VLOOKUP($C$5,Basis!$B$5:$BC$81,14,FALSE))</f>
        <v>#N/A</v>
      </c>
      <c r="F49" s="42"/>
      <c r="U49" s="149" t="s">
        <v>45</v>
      </c>
    </row>
    <row r="50" spans="1:21" s="1" customFormat="1" ht="17.25" customHeight="1" x14ac:dyDescent="0.2">
      <c r="A50" s="42"/>
      <c r="B50" s="43" t="str">
        <f>CONCATENATE("Aufwand für die stationäre Pflege je Einwohner/in im kantonalen Durchschnitt im Jahr ",$C$7-2)</f>
        <v>Aufwand für die stationäre Pflege je Einwohner/in im kantonalen Durchschnitt im Jahr 2013</v>
      </c>
      <c r="C50" s="43" t="s">
        <v>209</v>
      </c>
      <c r="D50" s="43" t="s">
        <v>114</v>
      </c>
      <c r="E50" s="44">
        <f>Basis!$AA$82/Basis!$O$82</f>
        <v>71.30031208117164</v>
      </c>
      <c r="F50" s="42"/>
      <c r="U50" s="169" t="s">
        <v>38</v>
      </c>
    </row>
    <row r="51" spans="1:21" s="1" customFormat="1" ht="17.25" customHeight="1" x14ac:dyDescent="0.2">
      <c r="A51" s="42"/>
      <c r="B51" s="43" t="str">
        <f>CONCATENATE("Einwohnerzahl der Gemeinde ",$C$5," Ende ",$C$7-2)</f>
        <v>Einwohnerzahl der Gemeinde  Ende 2013</v>
      </c>
      <c r="C51" s="43" t="s">
        <v>203</v>
      </c>
      <c r="D51" s="43" t="s">
        <v>118</v>
      </c>
      <c r="E51" s="45" t="e">
        <f>VLOOKUP($C$5,Basis!$B$5:$BC$81,14,FALSE)</f>
        <v>#N/A</v>
      </c>
      <c r="F51" s="42"/>
      <c r="U51" s="169" t="s">
        <v>36</v>
      </c>
    </row>
    <row r="52" spans="1:21" s="1" customFormat="1" ht="17.25" customHeight="1" x14ac:dyDescent="0.2">
      <c r="A52" s="42"/>
      <c r="B52" s="43" t="s">
        <v>136</v>
      </c>
      <c r="C52" s="52"/>
      <c r="D52" s="43" t="s">
        <v>137</v>
      </c>
      <c r="E52" s="53">
        <f>1/6*10</f>
        <v>1.6666666666666665</v>
      </c>
      <c r="F52" s="42"/>
      <c r="U52" s="149" t="s">
        <v>35</v>
      </c>
    </row>
    <row r="53" spans="1:21" ht="22.5" customHeight="1" x14ac:dyDescent="0.2">
      <c r="A53" s="46"/>
      <c r="B53" s="46" t="str">
        <f>CONCATENATE("Definitiver Beitrag an die Kosten für die stationäre Pflege ",$C$7," an die Gemeinde ",$C$5)</f>
        <v xml:space="preserve">Definitiver Beitrag an die Kosten für die stationäre Pflege 2015 an die Gemeinde </v>
      </c>
      <c r="C53" s="47" t="s">
        <v>210</v>
      </c>
      <c r="D53" s="46" t="e">
        <f>IF(E53&gt;0,"Fr.","")</f>
        <v>#N/A</v>
      </c>
      <c r="E53" s="54" t="e">
        <f>IF(E49&gt;E50,((E52*E49)-(E52*E50))*E51*0.55,0)</f>
        <v>#N/A</v>
      </c>
      <c r="F53" s="46"/>
      <c r="U53" s="169" t="s">
        <v>50</v>
      </c>
    </row>
    <row r="54" spans="1:21" ht="5.25" customHeight="1" x14ac:dyDescent="0.2">
      <c r="A54" s="49"/>
      <c r="B54" s="49"/>
      <c r="C54" s="49"/>
      <c r="D54" s="49"/>
      <c r="E54" s="49"/>
      <c r="F54" s="49"/>
      <c r="U54" s="149" t="s">
        <v>57</v>
      </c>
    </row>
    <row r="55" spans="1:21" s="4" customFormat="1" ht="22.5" customHeight="1" x14ac:dyDescent="0.2">
      <c r="A55" s="55"/>
      <c r="B55" s="55" t="s">
        <v>138</v>
      </c>
      <c r="C55" s="55"/>
      <c r="D55" s="55"/>
      <c r="E55" s="55"/>
      <c r="F55" s="55"/>
      <c r="U55" s="149" t="s">
        <v>67</v>
      </c>
    </row>
    <row r="56" spans="1:21" s="1" customFormat="1" ht="22.5" customHeight="1" x14ac:dyDescent="0.2">
      <c r="A56" s="40"/>
      <c r="B56" s="41" t="s">
        <v>139</v>
      </c>
      <c r="C56" s="41" t="s">
        <v>191</v>
      </c>
      <c r="D56" s="40"/>
      <c r="E56" s="40"/>
      <c r="F56" s="40"/>
      <c r="U56" s="169" t="s">
        <v>72</v>
      </c>
    </row>
    <row r="57" spans="1:21" s="1" customFormat="1" ht="17.25" customHeight="1" x14ac:dyDescent="0.2">
      <c r="A57" s="42"/>
      <c r="B57" s="43" t="str">
        <f>CONCATENATE("Altersquote der Gemeinde ",$C$5," im Jahr ",$C$7-2)</f>
        <v>Altersquote der Gemeinde  im Jahr 2013</v>
      </c>
      <c r="C57" s="43" t="s">
        <v>211</v>
      </c>
      <c r="D57" s="43" t="s">
        <v>137</v>
      </c>
      <c r="E57" s="44" t="e">
        <f>(VLOOKUP($C$5,Basis!$B$5:$BC$81,15,FALSE)/VLOOKUP($C$5,Basis!$B$5:$BC$81,14,FALSE))</f>
        <v>#N/A</v>
      </c>
      <c r="F57" s="42"/>
      <c r="U57" s="149" t="s">
        <v>51</v>
      </c>
    </row>
    <row r="58" spans="1:21" s="1" customFormat="1" ht="17.25" customHeight="1" x14ac:dyDescent="0.2">
      <c r="A58" s="42"/>
      <c r="B58" s="43" t="str">
        <f>CONCATENATE("Altersquote im kantonalen Durchschnitt im Jahr ",$C$7-2)</f>
        <v>Altersquote im kantonalen Durchschnitt im Jahr 2013</v>
      </c>
      <c r="C58" s="43" t="s">
        <v>212</v>
      </c>
      <c r="D58" s="43" t="s">
        <v>137</v>
      </c>
      <c r="E58" s="44">
        <f>Basis!$P$82/Basis!$O$82</f>
        <v>4.5072290161257189E-2</v>
      </c>
      <c r="F58" s="42"/>
      <c r="U58" s="149" t="s">
        <v>55</v>
      </c>
    </row>
    <row r="59" spans="1:21" s="1" customFormat="1" ht="17.25" customHeight="1" x14ac:dyDescent="0.2">
      <c r="A59" s="42"/>
      <c r="B59" s="43" t="str">
        <f>CONCATENATE("Einwohnerzahl der Gemeinde ",$C$5," Ende ",$C$7-2)</f>
        <v>Einwohnerzahl der Gemeinde  Ende 2013</v>
      </c>
      <c r="C59" s="43" t="s">
        <v>203</v>
      </c>
      <c r="D59" s="43" t="s">
        <v>118</v>
      </c>
      <c r="E59" s="45" t="e">
        <f>VLOOKUP($C$5,Basis!$B$5:$BC$81,14,FALSE)</f>
        <v>#N/A</v>
      </c>
      <c r="F59" s="42"/>
      <c r="U59" s="169" t="s">
        <v>24</v>
      </c>
    </row>
    <row r="60" spans="1:21" s="1" customFormat="1" ht="17.25" customHeight="1" x14ac:dyDescent="0.2">
      <c r="A60" s="42"/>
      <c r="B60" s="43" t="s">
        <v>140</v>
      </c>
      <c r="C60" s="43" t="s">
        <v>141</v>
      </c>
      <c r="D60" s="43" t="s">
        <v>114</v>
      </c>
      <c r="E60" s="56" t="e">
        <f>VLOOKUP($C$5,Basis!$B$5:$BC$81,54,FALSE)</f>
        <v>#N/A</v>
      </c>
      <c r="F60" s="42"/>
      <c r="U60" s="149" t="s">
        <v>39</v>
      </c>
    </row>
    <row r="61" spans="1:21" s="1" customFormat="1" ht="22.5" customHeight="1" x14ac:dyDescent="0.2">
      <c r="A61" s="46"/>
      <c r="B61" s="46" t="str">
        <f>CONCATENATE("Definitiver Beitrag an die Kosten für die ambulante Pflege ",$C$7," an die Gemeinde ",$C$5)</f>
        <v xml:space="preserve">Definitiver Beitrag an die Kosten für die ambulante Pflege 2015 an die Gemeinde </v>
      </c>
      <c r="C61" s="47" t="s">
        <v>213</v>
      </c>
      <c r="D61" s="46" t="e">
        <f>IF(E61&gt;0,"Fr.","")</f>
        <v>#N/A</v>
      </c>
      <c r="E61" s="54" t="e">
        <f>IF(E57&gt;E58,(E57-E58)*E59*E60,0)</f>
        <v>#N/A</v>
      </c>
      <c r="F61" s="46"/>
      <c r="U61" s="169" t="s">
        <v>30</v>
      </c>
    </row>
    <row r="62" spans="1:21" ht="5.25" customHeight="1" x14ac:dyDescent="0.2">
      <c r="A62" s="24"/>
      <c r="B62" s="24"/>
      <c r="C62" s="24"/>
      <c r="D62" s="24"/>
      <c r="E62" s="24"/>
      <c r="F62" s="24"/>
      <c r="U62" s="149" t="s">
        <v>37</v>
      </c>
    </row>
    <row r="63" spans="1:21" s="4" customFormat="1" ht="22.5" customHeight="1" x14ac:dyDescent="0.2">
      <c r="A63" s="17"/>
      <c r="B63" s="57" t="str">
        <f>CONCATENATE("Definitiver Beitrag an die Gemeinde ",$C$5," aus dem soziodemographischen Sonderlastenausgleich ",$C$7)</f>
        <v>Definitiver Beitrag an die Gemeinde  aus dem soziodemographischen Sonderlastenausgleich 2015</v>
      </c>
      <c r="C63" s="17"/>
      <c r="D63" s="17" t="e">
        <f>IF(E63&gt;0,"Fr.","")</f>
        <v>#N/A</v>
      </c>
      <c r="E63" s="58" t="e">
        <f>ROUND(SUM(E61,E53,E45,E38),-2)</f>
        <v>#N/A</v>
      </c>
      <c r="F63" s="17"/>
      <c r="U63" s="169" t="s">
        <v>32</v>
      </c>
    </row>
    <row r="64" spans="1:21" ht="5.25" customHeight="1" x14ac:dyDescent="0.2">
      <c r="U64" s="149" t="s">
        <v>33</v>
      </c>
    </row>
    <row r="65" spans="1:21" s="4" customFormat="1" ht="22.5" customHeight="1" x14ac:dyDescent="0.2">
      <c r="A65" s="14"/>
      <c r="B65" s="14" t="s">
        <v>142</v>
      </c>
      <c r="C65" s="14"/>
      <c r="D65" s="14"/>
      <c r="E65" s="14"/>
      <c r="F65" s="14"/>
      <c r="U65" s="149" t="s">
        <v>71</v>
      </c>
    </row>
    <row r="66" spans="1:21" s="4" customFormat="1" ht="22.5" customHeight="1" x14ac:dyDescent="0.2">
      <c r="A66" s="17"/>
      <c r="B66" s="17" t="str">
        <f>CONCATENATE("Politische Gemeinde ",$C$5," ",$C$7,"; Definitive Daten")</f>
        <v>Politische Gemeinde  2015; Definitive Daten</v>
      </c>
      <c r="C66" s="17"/>
      <c r="D66" s="17"/>
      <c r="E66" s="17"/>
      <c r="F66" s="17"/>
      <c r="U66" s="149" t="s">
        <v>89</v>
      </c>
    </row>
    <row r="67" spans="1:21" s="4" customFormat="1" ht="22.5" customHeight="1" x14ac:dyDescent="0.2">
      <c r="A67" s="55"/>
      <c r="B67" s="55" t="s">
        <v>143</v>
      </c>
      <c r="C67" s="55"/>
      <c r="D67" s="55"/>
      <c r="E67" s="55"/>
      <c r="F67" s="55"/>
      <c r="U67" s="169" t="s">
        <v>58</v>
      </c>
    </row>
    <row r="68" spans="1:21" s="1" customFormat="1" ht="22.5" customHeight="1" x14ac:dyDescent="0.2">
      <c r="A68" s="40"/>
      <c r="B68" s="41" t="s">
        <v>144</v>
      </c>
      <c r="C68" s="41" t="s">
        <v>192</v>
      </c>
      <c r="D68" s="40"/>
      <c r="E68" s="40"/>
      <c r="F68" s="40"/>
      <c r="U68" s="149" t="s">
        <v>99</v>
      </c>
    </row>
    <row r="69" spans="1:21" s="1" customFormat="1" ht="17.25" customHeight="1" x14ac:dyDescent="0.2">
      <c r="A69" s="42"/>
      <c r="B69" s="43" t="str">
        <f>CONCATENATE("Schülerzahl je Einwohner/in der Gemeinde ",$C$5," in der Volksschule im Jahr ",$C$7-2)</f>
        <v>Schülerzahl je Einwohner/in der Gemeinde  in der Volksschule im Jahr 2013</v>
      </c>
      <c r="C69" s="43" t="s">
        <v>214</v>
      </c>
      <c r="D69" s="43" t="s">
        <v>137</v>
      </c>
      <c r="E69" s="44" t="e">
        <f>VLOOKUP($C$5,Basis!$B$5:$BC$81,17,FALSE)/VLOOKUP($C$5,Basis!$B$5:$BC$81,14,FALSE)</f>
        <v>#N/A</v>
      </c>
      <c r="F69" s="42"/>
      <c r="U69" s="149" t="s">
        <v>63</v>
      </c>
    </row>
    <row r="70" spans="1:21" s="1" customFormat="1" ht="17.25" customHeight="1" x14ac:dyDescent="0.2">
      <c r="A70" s="42"/>
      <c r="B70" s="43" t="str">
        <f>CONCATENATE("Schülerzahl je Einwohner/in in der Volksschule im kantonalen Durchschnitt im Jahr ",$C$7-2)</f>
        <v>Schülerzahl je Einwohner/in in der Volksschule im kantonalen Durchschnitt im Jahr 2013</v>
      </c>
      <c r="C70" s="43" t="s">
        <v>215</v>
      </c>
      <c r="D70" s="43" t="s">
        <v>137</v>
      </c>
      <c r="E70" s="44">
        <f>Basis!$R$82/Basis!$O$82</f>
        <v>0.11345558970020277</v>
      </c>
      <c r="F70" s="42"/>
      <c r="U70" s="169" t="s">
        <v>56</v>
      </c>
    </row>
    <row r="71" spans="1:21" s="1" customFormat="1" ht="17.25" customHeight="1" x14ac:dyDescent="0.2">
      <c r="A71" s="42"/>
      <c r="B71" s="43" t="str">
        <f>CONCATENATE("Einwohnerzahl der Gemeinde ",$C$5," Ende ",$C$7-2)</f>
        <v>Einwohnerzahl der Gemeinde  Ende 2013</v>
      </c>
      <c r="C71" s="43" t="s">
        <v>203</v>
      </c>
      <c r="D71" s="43" t="s">
        <v>118</v>
      </c>
      <c r="E71" s="45" t="e">
        <f>VLOOKUP($C$5,Basis!$B$5:$BC$81,14,FALSE)</f>
        <v>#N/A</v>
      </c>
      <c r="F71" s="42"/>
      <c r="U71" s="169" t="s">
        <v>78</v>
      </c>
    </row>
    <row r="72" spans="1:21" s="1" customFormat="1" ht="17.25" customHeight="1" x14ac:dyDescent="0.2">
      <c r="A72" s="42"/>
      <c r="B72" s="43" t="s">
        <v>145</v>
      </c>
      <c r="C72" s="43" t="s">
        <v>146</v>
      </c>
      <c r="D72" s="43" t="s">
        <v>114</v>
      </c>
      <c r="E72" s="56" t="e">
        <f>VLOOKUP($C$5,Basis!$B$5:$BC$81,52,FALSE)</f>
        <v>#N/A</v>
      </c>
      <c r="F72" s="42"/>
      <c r="U72" s="169" t="s">
        <v>66</v>
      </c>
    </row>
    <row r="73" spans="1:21" s="1" customFormat="1" ht="17.25" customHeight="1" x14ac:dyDescent="0.2">
      <c r="A73" s="42"/>
      <c r="B73" s="43" t="s">
        <v>127</v>
      </c>
      <c r="C73" s="43"/>
      <c r="D73" s="43" t="s">
        <v>112</v>
      </c>
      <c r="E73" s="59" t="e">
        <f>VLOOKUP($C$5,Basis!$B$5:$BC$81,50,FALSE)</f>
        <v>#N/A</v>
      </c>
      <c r="F73" s="42"/>
      <c r="U73" s="169" t="s">
        <v>44</v>
      </c>
    </row>
    <row r="74" spans="1:21" s="1" customFormat="1" ht="22.5" customHeight="1" x14ac:dyDescent="0.2">
      <c r="A74" s="46"/>
      <c r="B74" s="46" t="str">
        <f>CONCATENATE("Definitiver Beitrag aus dem Sonderlastenausgleich Volksschule ",$C$7," an die Gemeinde ",$C$5)</f>
        <v xml:space="preserve">Definitiver Beitrag aus dem Sonderlastenausgleich Volksschule 2015 an die Gemeinde </v>
      </c>
      <c r="C74" s="47" t="s">
        <v>216</v>
      </c>
      <c r="D74" s="46" t="e">
        <f>IF(E74&gt;0,"Fr.","")</f>
        <v>#N/A</v>
      </c>
      <c r="E74" s="48" t="e">
        <f>IF(E69&gt;E70,(E69-E70)*E71*E72+E73*((E69-E70)*E71*E72),0)</f>
        <v>#N/A</v>
      </c>
      <c r="F74" s="46"/>
      <c r="U74" s="169" t="s">
        <v>92</v>
      </c>
    </row>
    <row r="75" spans="1:21" ht="5.25" customHeight="1" x14ac:dyDescent="0.2">
      <c r="U75" s="149" t="s">
        <v>75</v>
      </c>
    </row>
    <row r="76" spans="1:21" s="4" customFormat="1" ht="22.5" customHeight="1" x14ac:dyDescent="0.2">
      <c r="A76" s="55"/>
      <c r="B76" s="55" t="s">
        <v>147</v>
      </c>
      <c r="C76" s="55"/>
      <c r="D76" s="55"/>
      <c r="E76" s="55"/>
      <c r="F76" s="55"/>
      <c r="U76" s="149" t="s">
        <v>25</v>
      </c>
    </row>
    <row r="77" spans="1:21" s="1" customFormat="1" ht="22.5" customHeight="1" x14ac:dyDescent="0.2">
      <c r="A77" s="40"/>
      <c r="B77" s="41" t="s">
        <v>148</v>
      </c>
      <c r="C77" s="41" t="s">
        <v>193</v>
      </c>
      <c r="D77" s="40"/>
      <c r="E77" s="40"/>
      <c r="F77" s="40"/>
      <c r="U77" s="149" t="s">
        <v>93</v>
      </c>
    </row>
    <row r="78" spans="1:21" s="1" customFormat="1" ht="17.25" customHeight="1" x14ac:dyDescent="0.2">
      <c r="A78" s="42"/>
      <c r="B78" s="43" t="str">
        <f>CONCATENATE("Schülerzahl je Einwohner/in der Gemeinde ",$C$5," in der Sonderschule im Jahr ",$C$7-2)</f>
        <v>Schülerzahl je Einwohner/in der Gemeinde  in der Sonderschule im Jahr 2013</v>
      </c>
      <c r="C78" s="43" t="s">
        <v>217</v>
      </c>
      <c r="D78" s="43" t="s">
        <v>137</v>
      </c>
      <c r="E78" s="44" t="e">
        <f>VLOOKUP($C$5,Basis!$B$5:$BC$81,18,FALSE)/VLOOKUP($C$5,Basis!$B$5:$BC$81,14,FALSE)</f>
        <v>#N/A</v>
      </c>
      <c r="F78" s="42"/>
      <c r="U78" s="6">
        <v>2014</v>
      </c>
    </row>
    <row r="79" spans="1:21" s="1" customFormat="1" ht="17.25" customHeight="1" x14ac:dyDescent="0.2">
      <c r="A79" s="42"/>
      <c r="B79" s="43" t="str">
        <f>CONCATENATE("Schülerzahl je Einwohner/in in der Sonderschule im kantonalen Durchschnitt im Jahr ",$C$7-2)</f>
        <v>Schülerzahl je Einwohner/in in der Sonderschule im kantonalen Durchschnitt im Jahr 2013</v>
      </c>
      <c r="C79" s="43" t="s">
        <v>218</v>
      </c>
      <c r="D79" s="43" t="s">
        <v>137</v>
      </c>
      <c r="E79" s="44">
        <f>Basis!$S$82/Basis!$O$82</f>
        <v>2.8940469677587303E-3</v>
      </c>
      <c r="F79" s="42"/>
      <c r="U79" s="6"/>
    </row>
    <row r="80" spans="1:21" s="1" customFormat="1" ht="17.25" customHeight="1" x14ac:dyDescent="0.2">
      <c r="A80" s="42"/>
      <c r="B80" s="43" t="str">
        <f>CONCATENATE("Einwohnerzahl der Gemeinde ",$C$5," Ende ",$C$7-2)</f>
        <v>Einwohnerzahl der Gemeinde  Ende 2013</v>
      </c>
      <c r="C80" s="43" t="s">
        <v>203</v>
      </c>
      <c r="D80" s="43" t="s">
        <v>118</v>
      </c>
      <c r="E80" s="45" t="e">
        <f>VLOOKUP($C$5,Basis!$B$5:$BC$81,14,FALSE)</f>
        <v>#N/A</v>
      </c>
      <c r="F80" s="42"/>
      <c r="U80" s="6"/>
    </row>
    <row r="81" spans="1:21" s="1" customFormat="1" ht="17.25" customHeight="1" x14ac:dyDescent="0.2">
      <c r="A81" s="42"/>
      <c r="B81" s="43" t="s">
        <v>149</v>
      </c>
      <c r="C81" s="43" t="s">
        <v>150</v>
      </c>
      <c r="D81" s="43" t="s">
        <v>114</v>
      </c>
      <c r="E81" s="56" t="e">
        <f>VLOOKUP($C$5,Basis!$B$5:$BC$81,53,FALSE)</f>
        <v>#N/A</v>
      </c>
      <c r="F81" s="42"/>
      <c r="U81" s="6"/>
    </row>
    <row r="82" spans="1:21" s="1" customFormat="1" ht="17.25" customHeight="1" x14ac:dyDescent="0.2">
      <c r="A82" s="42"/>
      <c r="B82" s="43" t="s">
        <v>127</v>
      </c>
      <c r="C82" s="43"/>
      <c r="D82" s="43" t="s">
        <v>112</v>
      </c>
      <c r="E82" s="59" t="e">
        <f>VLOOKUP($C$5,Basis!$B$5:$BC$81,50,FALSE)</f>
        <v>#N/A</v>
      </c>
      <c r="F82" s="42"/>
      <c r="U82" s="60"/>
    </row>
    <row r="83" spans="1:21" s="1" customFormat="1" ht="22.5" customHeight="1" x14ac:dyDescent="0.2">
      <c r="A83" s="46"/>
      <c r="B83" s="46" t="str">
        <f>CONCATENATE("Definitiver Beitrag aus dem Sonderlastenausgleich Sonderschule ",$C$7," an die Gemeinde ",$C$5)</f>
        <v xml:space="preserve">Definitiver Beitrag aus dem Sonderlastenausgleich Sonderschule 2015 an die Gemeinde </v>
      </c>
      <c r="C83" s="47" t="s">
        <v>219</v>
      </c>
      <c r="D83" s="46" t="e">
        <f>IF(E83&gt;0,"Fr.","")</f>
        <v>#N/A</v>
      </c>
      <c r="E83" s="48" t="e">
        <f>IF(E78&gt;E79,(E78-E79)*E80*E81+E82*((E78-E79)*E80*E81),0)</f>
        <v>#N/A</v>
      </c>
      <c r="F83" s="46"/>
      <c r="U83" s="60"/>
    </row>
    <row r="84" spans="1:21" ht="5.25" customHeight="1" x14ac:dyDescent="0.2">
      <c r="A84" s="14"/>
      <c r="B84" s="14"/>
      <c r="C84" s="14"/>
      <c r="D84" s="14"/>
      <c r="E84" s="14"/>
      <c r="F84" s="14"/>
    </row>
    <row r="85" spans="1:21" ht="22.5" customHeight="1" x14ac:dyDescent="0.2">
      <c r="A85" s="17"/>
      <c r="B85" s="57" t="str">
        <f>CONCATENATE("Definitiver Beitrag an die Gemeinde ",$C$5," aus dem Sonderlastenausgleich Schule ",$C$7)</f>
        <v>Definitiver Beitrag an die Gemeinde  aus dem Sonderlastenausgleich Schule 2015</v>
      </c>
      <c r="C85" s="17"/>
      <c r="D85" s="17" t="e">
        <f>IF(E85&gt;0,"Fr.","")</f>
        <v>#N/A</v>
      </c>
      <c r="E85" s="58" t="e">
        <f>ROUND(SUM(E83,E74),-2)</f>
        <v>#N/A</v>
      </c>
      <c r="F85" s="17"/>
    </row>
    <row r="86" spans="1:21" ht="5.25" customHeight="1" x14ac:dyDescent="0.2"/>
    <row r="87" spans="1:21" s="4" customFormat="1" ht="22.5" customHeight="1" x14ac:dyDescent="0.2">
      <c r="A87" s="28"/>
      <c r="B87" s="28" t="s">
        <v>151</v>
      </c>
      <c r="C87" s="28"/>
      <c r="D87" s="28"/>
      <c r="E87" s="28"/>
      <c r="F87" s="28"/>
      <c r="U87" s="62"/>
    </row>
    <row r="88" spans="1:21" s="1" customFormat="1" ht="17.25" customHeight="1" x14ac:dyDescent="0.2">
      <c r="A88" s="33"/>
      <c r="B88" s="33" t="str">
        <f>CONCATENATE("Veränderung Landesindex der Konsumentenpreise Juni ",$C$7, " zu Juni 2007")</f>
        <v>Veränderung Landesindex der Konsumentenpreise Juni 2015 zu Juni 2007</v>
      </c>
      <c r="C88" s="33"/>
      <c r="D88" s="34" t="s">
        <v>112</v>
      </c>
      <c r="E88" s="63">
        <f>Basis!$BD$5/101.7%-1</f>
        <v>1.8682399213372669E-2</v>
      </c>
      <c r="F88" s="33"/>
      <c r="U88" s="60"/>
    </row>
    <row r="89" spans="1:21" s="1" customFormat="1" ht="17.25" customHeight="1" x14ac:dyDescent="0.2">
      <c r="A89" s="33"/>
      <c r="B89" s="34" t="s">
        <v>152</v>
      </c>
      <c r="C89" s="34" t="s">
        <v>153</v>
      </c>
      <c r="D89" s="33" t="e">
        <f>IF(E89&gt;0,"Fr.","")</f>
        <v>#N/A</v>
      </c>
      <c r="E89" s="64" t="e">
        <f>VLOOKUP($C$5,Basis!$B$5:$BC$81,6,FALSE)</f>
        <v>#N/A</v>
      </c>
      <c r="F89" s="33"/>
      <c r="U89" s="60"/>
    </row>
    <row r="90" spans="1:21" s="1" customFormat="1" ht="17.25" customHeight="1" x14ac:dyDescent="0.2">
      <c r="A90" s="33"/>
      <c r="B90" s="34" t="s">
        <v>154</v>
      </c>
      <c r="C90" s="34" t="s">
        <v>155</v>
      </c>
      <c r="D90" s="33" t="e">
        <f>IF(E90&gt;0,"Fr.","")</f>
        <v>#N/A</v>
      </c>
      <c r="E90" s="64" t="e">
        <f>VLOOKUP($C$5,Basis!$B$5:$BC$81,7,FALSE)</f>
        <v>#N/A</v>
      </c>
      <c r="F90" s="33"/>
      <c r="U90" s="60"/>
    </row>
    <row r="91" spans="1:21" s="4" customFormat="1" ht="22.5" customHeight="1" x14ac:dyDescent="0.2">
      <c r="A91" s="28"/>
      <c r="B91" s="29" t="str">
        <f>CONCATENATE("Definitiver Beitrag an die Gemeinde ",$C$5," aus dem Sonderlastenausgleich Stadt ",$C$7)</f>
        <v>Definitiver Beitrag an die Gemeinde  aus dem Sonderlastenausgleich Stadt 2015</v>
      </c>
      <c r="C91" s="28"/>
      <c r="D91" s="28" t="e">
        <f>IF(E91&gt;0,"Fr.","")</f>
        <v>#N/A</v>
      </c>
      <c r="E91" s="65" t="e">
        <f>SUM(E89:E90)</f>
        <v>#N/A</v>
      </c>
      <c r="F91" s="28"/>
      <c r="U91" s="62"/>
    </row>
    <row r="92" spans="1:21" ht="22.5" customHeight="1" thickBot="1" x14ac:dyDescent="0.25">
      <c r="B92" s="66"/>
    </row>
    <row r="93" spans="1:21" s="2" customFormat="1" ht="22.5" customHeight="1" thickBot="1" x14ac:dyDescent="0.25">
      <c r="A93" s="67"/>
      <c r="B93" s="67" t="s">
        <v>156</v>
      </c>
      <c r="C93" s="67"/>
      <c r="D93" s="67"/>
      <c r="E93" s="67"/>
      <c r="F93" s="67"/>
      <c r="U93" s="68"/>
    </row>
    <row r="94" spans="1:21" ht="5.25" customHeight="1" x14ac:dyDescent="0.2"/>
    <row r="95" spans="1:21" s="1" customFormat="1" ht="22.5" customHeight="1" x14ac:dyDescent="0.2">
      <c r="A95" s="69"/>
      <c r="B95" s="69" t="s">
        <v>157</v>
      </c>
      <c r="C95" s="70" t="s">
        <v>194</v>
      </c>
      <c r="D95" s="69"/>
      <c r="E95" s="69"/>
      <c r="F95" s="69"/>
      <c r="U95" s="60"/>
    </row>
    <row r="96" spans="1:21" s="1" customFormat="1" ht="17.25" customHeight="1" x14ac:dyDescent="0.2">
      <c r="A96" s="71"/>
      <c r="B96" s="71" t="str">
        <f>CONCATENATE("Steuerfuss ",$C$7-2," der Gemeinde ",$C$5," vor Steuerfussausgleich")</f>
        <v>Steuerfuss 2013 der Gemeinde  vor Steuerfussausgleich</v>
      </c>
      <c r="C96" s="72" t="s">
        <v>195</v>
      </c>
      <c r="D96" s="72" t="s">
        <v>112</v>
      </c>
      <c r="E96" s="73" t="e">
        <f>VLOOKUP($C$5,Basis!B5:BD81,12,FALSE)</f>
        <v>#N/A</v>
      </c>
      <c r="F96" s="71"/>
      <c r="U96" s="60"/>
    </row>
    <row r="97" spans="1:21" s="1" customFormat="1" ht="17.25" customHeight="1" x14ac:dyDescent="0.2">
      <c r="A97" s="71"/>
      <c r="B97" s="72" t="s">
        <v>158</v>
      </c>
      <c r="C97" s="72" t="s">
        <v>196</v>
      </c>
      <c r="D97" s="72" t="s">
        <v>112</v>
      </c>
      <c r="E97" s="74">
        <v>1.45</v>
      </c>
      <c r="F97" s="71"/>
      <c r="U97" s="60"/>
    </row>
    <row r="98" spans="1:21" s="1" customFormat="1" ht="17.25" customHeight="1" x14ac:dyDescent="0.2">
      <c r="A98" s="71"/>
      <c r="B98" s="72" t="str">
        <f>CONCATENATE("Einwohnerzahl der Gemeinde ",$C$5," Ende ",$C$7-2)</f>
        <v>Einwohnerzahl der Gemeinde  Ende 2013</v>
      </c>
      <c r="C98" s="72" t="s">
        <v>197</v>
      </c>
      <c r="D98" s="72" t="s">
        <v>118</v>
      </c>
      <c r="E98" s="75" t="e">
        <f>VLOOKUP($C$5,Basis!$B$5:$BC$81,14,FALSE)</f>
        <v>#N/A</v>
      </c>
      <c r="F98" s="71"/>
      <c r="U98" s="60"/>
    </row>
    <row r="99" spans="1:21" s="1" customFormat="1" ht="17.25" customHeight="1" x14ac:dyDescent="0.2">
      <c r="A99" s="71"/>
      <c r="B99" s="71" t="str">
        <f>CONCATENATE("Steuerkraft der Gemeinde ",$C$5)</f>
        <v xml:space="preserve">Steuerkraft der Gemeinde </v>
      </c>
      <c r="C99" s="72" t="s">
        <v>198</v>
      </c>
      <c r="D99" s="72" t="s">
        <v>114</v>
      </c>
      <c r="E99" s="76" t="e">
        <f>VLOOKUP($C$5,Basis!$B$5:$BC$81,47,FALSE)</f>
        <v>#N/A</v>
      </c>
      <c r="F99" s="71"/>
      <c r="U99" s="60"/>
    </row>
    <row r="100" spans="1:21" s="4" customFormat="1" ht="22.5" customHeight="1" x14ac:dyDescent="0.2">
      <c r="A100" s="77"/>
      <c r="B100" s="77" t="str">
        <f>CONCATENATE("Definitiver Beitrag an die Gemeinde ",$C$5," aus dem partiellen Steuerfussausgleich ",$C$7)</f>
        <v>Definitiver Beitrag an die Gemeinde  aus dem partiellen Steuerfussausgleich 2015</v>
      </c>
      <c r="C100" s="77" t="s">
        <v>199</v>
      </c>
      <c r="D100" s="77" t="e">
        <f>IF(E100&gt;0,"Fr.","")</f>
        <v>#N/A</v>
      </c>
      <c r="E100" s="78" t="e">
        <f>IF(VLOOKUP($C$5,Basis!B5:BD81,8,FALSE)&gt;0,VLOOKUP($C$5,Basis!B5:BD81,8,FALSE),0)</f>
        <v>#N/A</v>
      </c>
      <c r="F100" s="77"/>
      <c r="U100" s="62"/>
    </row>
    <row r="101" spans="1:21" s="80" customFormat="1" ht="22.5" customHeight="1" x14ac:dyDescent="0.2">
      <c r="A101" s="79"/>
      <c r="B101" s="79" t="s">
        <v>159</v>
      </c>
      <c r="C101" s="79"/>
      <c r="D101" s="79"/>
      <c r="E101" s="79"/>
      <c r="F101" s="79"/>
      <c r="U101" s="81"/>
    </row>
    <row r="102" spans="1:21" s="4" customFormat="1" ht="22.5" customHeight="1" x14ac:dyDescent="0.2">
      <c r="A102" s="77"/>
      <c r="B102" s="77" t="str">
        <f>CONCATENATE("Definitiver Beitrag an die Gemeinde ",$C$5," aus dem individuellen Sonderlastenausgleich ",$C$7)</f>
        <v>Definitiver Beitrag an die Gemeinde  aus dem individuellen Sonderlastenausgleich 2015</v>
      </c>
      <c r="C102" s="77" t="s">
        <v>160</v>
      </c>
      <c r="D102" s="77" t="e">
        <f>IF(E102&gt;0,"Fr.","")</f>
        <v>#N/A</v>
      </c>
      <c r="E102" s="82" t="e">
        <f>IF(VLOOKUP($C$5,Basis!B5:BD81,9,FALSE)&gt;0,VLOOKUP($C$5,Basis!B5:BD81,9,FALSE),0)</f>
        <v>#N/A</v>
      </c>
      <c r="F102" s="77"/>
      <c r="U102" s="62"/>
    </row>
    <row r="103" spans="1:21" ht="22.5" customHeight="1" thickBot="1" x14ac:dyDescent="0.25"/>
    <row r="104" spans="1:21" s="2" customFormat="1" ht="22.5" customHeight="1" thickBot="1" x14ac:dyDescent="0.25">
      <c r="A104" s="83"/>
      <c r="B104" s="83" t="s">
        <v>161</v>
      </c>
      <c r="C104" s="83"/>
      <c r="D104" s="83"/>
      <c r="E104" s="83"/>
      <c r="F104" s="83"/>
      <c r="U104" s="68"/>
    </row>
    <row r="105" spans="1:21" ht="5.25" customHeight="1" x14ac:dyDescent="0.2"/>
    <row r="106" spans="1:21" s="4" customFormat="1" ht="22.5" customHeight="1" x14ac:dyDescent="0.2">
      <c r="A106" s="84"/>
      <c r="B106" s="84" t="str">
        <f>CONCATENATE("Definitiver Beitrag an die Gemeinde ",$C$5," aus dem Übergangsausgleich ",$C$7)</f>
        <v>Definitiver Beitrag an die Gemeinde  aus dem Übergangsausgleich 2015</v>
      </c>
      <c r="C106" s="84"/>
      <c r="D106" s="84" t="e">
        <f>IF(E106&gt;0,"Fr.","")</f>
        <v>#N/A</v>
      </c>
      <c r="E106" s="85" t="e">
        <f>VLOOKUP($C$5,Basis!$B$5:$BC$81,10,FALSE)</f>
        <v>#N/A</v>
      </c>
      <c r="F106" s="84"/>
      <c r="U106" s="62"/>
    </row>
    <row r="107" spans="1:21" ht="30" customHeight="1" thickBot="1" x14ac:dyDescent="0.25"/>
    <row r="108" spans="1:21" s="2" customFormat="1" ht="22.5" customHeight="1" thickBot="1" x14ac:dyDescent="0.25">
      <c r="A108" s="86"/>
      <c r="B108" s="86" t="s">
        <v>228</v>
      </c>
      <c r="C108" s="86"/>
      <c r="D108" s="86"/>
      <c r="E108" s="86"/>
      <c r="F108" s="86"/>
      <c r="U108" s="68"/>
    </row>
    <row r="109" spans="1:21" ht="5.25" customHeight="1" x14ac:dyDescent="0.2"/>
    <row r="110" spans="1:21" s="1" customFormat="1" ht="17.25" customHeight="1" x14ac:dyDescent="0.2">
      <c r="A110" s="13"/>
      <c r="B110" s="13" t="s">
        <v>162</v>
      </c>
      <c r="C110" s="13"/>
      <c r="D110" s="13"/>
      <c r="E110" s="87" t="e">
        <f>E19</f>
        <v>#N/A</v>
      </c>
      <c r="F110" s="13"/>
      <c r="U110" s="60"/>
    </row>
    <row r="111" spans="1:21" s="1" customFormat="1" ht="17.25" customHeight="1" x14ac:dyDescent="0.2">
      <c r="A111" s="88"/>
      <c r="B111" s="88" t="s">
        <v>163</v>
      </c>
      <c r="C111" s="88"/>
      <c r="D111" s="88"/>
      <c r="E111" s="89" t="e">
        <f>E29</f>
        <v>#N/A</v>
      </c>
      <c r="F111" s="88"/>
      <c r="U111" s="60"/>
    </row>
    <row r="112" spans="1:21" s="1" customFormat="1" ht="17.25" customHeight="1" x14ac:dyDescent="0.2">
      <c r="A112" s="88"/>
      <c r="B112" s="88" t="s">
        <v>164</v>
      </c>
      <c r="C112" s="88"/>
      <c r="D112" s="88"/>
      <c r="E112" s="89" t="e">
        <f>E85</f>
        <v>#N/A</v>
      </c>
      <c r="F112" s="88"/>
      <c r="U112" s="60"/>
    </row>
    <row r="113" spans="1:21" s="1" customFormat="1" ht="17.25" customHeight="1" x14ac:dyDescent="0.2">
      <c r="A113" s="88"/>
      <c r="B113" s="88" t="s">
        <v>165</v>
      </c>
      <c r="C113" s="88"/>
      <c r="D113" s="88"/>
      <c r="E113" s="89" t="e">
        <f>E63</f>
        <v>#N/A</v>
      </c>
      <c r="F113" s="88"/>
      <c r="U113" s="60"/>
    </row>
    <row r="114" spans="1:21" s="1" customFormat="1" ht="17.25" customHeight="1" x14ac:dyDescent="0.2">
      <c r="A114" s="90"/>
      <c r="B114" s="90" t="s">
        <v>166</v>
      </c>
      <c r="C114" s="90"/>
      <c r="D114" s="90"/>
      <c r="E114" s="91" t="e">
        <f>E91</f>
        <v>#N/A</v>
      </c>
      <c r="F114" s="90"/>
      <c r="U114" s="60"/>
    </row>
    <row r="115" spans="1:21" s="1" customFormat="1" ht="17.25" customHeight="1" x14ac:dyDescent="0.2">
      <c r="A115" s="92"/>
      <c r="B115" s="92" t="s">
        <v>231</v>
      </c>
      <c r="C115" s="92"/>
      <c r="D115" s="92"/>
      <c r="E115" s="93" t="e">
        <f>IF(E100&gt;E102,E100,0)</f>
        <v>#N/A</v>
      </c>
      <c r="F115" s="92"/>
      <c r="U115" s="60"/>
    </row>
    <row r="116" spans="1:21" s="1" customFormat="1" ht="17.25" customHeight="1" x14ac:dyDescent="0.2">
      <c r="A116" s="94"/>
      <c r="B116" s="94" t="s">
        <v>232</v>
      </c>
      <c r="C116" s="94"/>
      <c r="D116" s="94"/>
      <c r="E116" s="95" t="e">
        <f>IF(E102&gt;E100,E102,0)</f>
        <v>#N/A</v>
      </c>
      <c r="F116" s="94"/>
      <c r="U116" s="60"/>
    </row>
    <row r="117" spans="1:21" s="1" customFormat="1" ht="17.25" customHeight="1" x14ac:dyDescent="0.2">
      <c r="A117" s="96"/>
      <c r="B117" s="96" t="s">
        <v>167</v>
      </c>
      <c r="C117" s="96"/>
      <c r="D117" s="96"/>
      <c r="E117" s="97" t="e">
        <f>E106</f>
        <v>#N/A</v>
      </c>
      <c r="F117" s="96"/>
      <c r="U117" s="60"/>
    </row>
    <row r="118" spans="1:21" s="4" customFormat="1" ht="22.5" customHeight="1" x14ac:dyDescent="0.2">
      <c r="A118" s="98"/>
      <c r="B118" s="98" t="s">
        <v>233</v>
      </c>
      <c r="C118" s="98"/>
      <c r="D118" s="98"/>
      <c r="E118" s="99" t="e">
        <f>SUM(E110:E117)</f>
        <v>#N/A</v>
      </c>
      <c r="F118" s="98"/>
      <c r="U118" s="62"/>
    </row>
    <row r="119" spans="1:21" s="1" customFormat="1" ht="17.25" customHeight="1" x14ac:dyDescent="0.2">
      <c r="A119" s="100"/>
      <c r="B119" s="100" t="s">
        <v>168</v>
      </c>
      <c r="C119" s="100"/>
      <c r="D119" s="100"/>
      <c r="E119" s="101" t="e">
        <f>E118/VLOOKUP($C$5,Basis!$B$5:$BC$81,14,FALSE)</f>
        <v>#N/A</v>
      </c>
      <c r="F119" s="100"/>
      <c r="U119" s="60"/>
    </row>
  </sheetData>
  <sheetProtection algorithmName="SHA-512" hashValue="qdy7ecUMuwmg7EiD+z3XPyn8G776/rzrOCanOtQz/Cu3qdJR7C806lzxr9yEZQBDsMyuuMLudrD7UAsz6VM3Sw==" saltValue="X5jITAAiKFznZA1CLQHztg==" spinCount="100000" sheet="1" objects="1" scenarios="1" selectLockedCells="1"/>
  <sortState ref="U1:U77">
    <sortCondition ref="U1:U77"/>
  </sortState>
  <dataValidations count="1">
    <dataValidation type="list" allowBlank="1" showInputMessage="1" showErrorMessage="1" sqref="C5">
      <formula1>$U$1:$U$77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0" defaultRowHeight="11.25" zeroHeight="1" x14ac:dyDescent="0.2"/>
  <cols>
    <col min="1" max="1" width="3.42578125" style="118" bestFit="1" customWidth="1"/>
    <col min="2" max="2" width="19" style="189" customWidth="1"/>
    <col min="3" max="6" width="9.5703125" style="118" customWidth="1"/>
    <col min="7" max="8" width="8.7109375" style="118" customWidth="1"/>
    <col min="9" max="9" width="8.7109375" style="118" bestFit="1" customWidth="1"/>
    <col min="10" max="11" width="8.7109375" style="118" customWidth="1"/>
    <col min="12" max="13" width="5.140625" style="118" bestFit="1" customWidth="1"/>
    <col min="14" max="15" width="7.42578125" style="118" bestFit="1" customWidth="1"/>
    <col min="16" max="16" width="7.28515625" style="118" bestFit="1" customWidth="1"/>
    <col min="17" max="17" width="10.42578125" style="118" bestFit="1" customWidth="1"/>
    <col min="18" max="19" width="7.28515625" style="118" bestFit="1" customWidth="1"/>
    <col min="20" max="20" width="11.7109375" style="118" bestFit="1" customWidth="1"/>
    <col min="21" max="22" width="10.85546875" style="118" bestFit="1" customWidth="1"/>
    <col min="23" max="23" width="11.7109375" style="118" bestFit="1" customWidth="1"/>
    <col min="24" max="25" width="10.85546875" style="118" bestFit="1" customWidth="1"/>
    <col min="26" max="26" width="11.42578125" style="118" customWidth="1"/>
    <col min="27" max="27" width="11.7109375" style="118" bestFit="1" customWidth="1"/>
    <col min="28" max="28" width="7.85546875" style="118" customWidth="1"/>
    <col min="29" max="33" width="7.140625" style="118" customWidth="1"/>
    <col min="34" max="34" width="9.42578125" style="118" bestFit="1" customWidth="1"/>
    <col min="35" max="35" width="7.85546875" style="118" customWidth="1"/>
    <col min="36" max="40" width="7.140625" style="118" customWidth="1"/>
    <col min="41" max="41" width="9.42578125" style="118" bestFit="1" customWidth="1"/>
    <col min="42" max="42" width="7.85546875" style="118" customWidth="1"/>
    <col min="43" max="47" width="7.140625" style="118" customWidth="1"/>
    <col min="48" max="49" width="9.42578125" style="118" customWidth="1"/>
    <col min="50" max="50" width="5.42578125" style="118" customWidth="1"/>
    <col min="51" max="51" width="11.5703125" style="118" customWidth="1"/>
    <col min="52" max="52" width="7.7109375" style="118" customWidth="1"/>
    <col min="53" max="54" width="9.42578125" style="118" customWidth="1"/>
    <col min="55" max="56" width="7.28515625" style="118" customWidth="1"/>
    <col min="57" max="16384" width="11.42578125" style="118" hidden="1"/>
  </cols>
  <sheetData>
    <row r="1" spans="1:56" s="102" customFormat="1" ht="15" x14ac:dyDescent="0.25">
      <c r="A1" s="102" t="s">
        <v>229</v>
      </c>
      <c r="B1" s="103"/>
    </row>
    <row r="2" spans="1:56" s="105" customFormat="1" ht="12.75" x14ac:dyDescent="0.2">
      <c r="A2" s="105" t="s">
        <v>169</v>
      </c>
      <c r="B2" s="106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</row>
    <row r="3" spans="1:56" x14ac:dyDescent="0.2">
      <c r="A3" s="107"/>
      <c r="B3" s="108"/>
      <c r="C3" s="109" t="s">
        <v>170</v>
      </c>
      <c r="D3" s="110"/>
      <c r="E3" s="110"/>
      <c r="F3" s="110"/>
      <c r="G3" s="111"/>
      <c r="H3" s="111"/>
      <c r="I3" s="110"/>
      <c r="J3" s="110"/>
      <c r="K3" s="112"/>
      <c r="L3" s="113" t="s">
        <v>171</v>
      </c>
      <c r="M3" s="114"/>
      <c r="N3" s="114"/>
      <c r="O3" s="114"/>
      <c r="P3" s="114"/>
      <c r="Q3" s="115" t="s">
        <v>172</v>
      </c>
      <c r="R3" s="116" t="s">
        <v>173</v>
      </c>
      <c r="S3" s="111"/>
      <c r="T3" s="116" t="s">
        <v>174</v>
      </c>
      <c r="U3" s="111"/>
      <c r="V3" s="111"/>
      <c r="W3" s="111"/>
      <c r="X3" s="111"/>
      <c r="Y3" s="111"/>
      <c r="Z3" s="111"/>
      <c r="AA3" s="111"/>
      <c r="AB3" s="116" t="s">
        <v>200</v>
      </c>
      <c r="AC3" s="111"/>
      <c r="AD3" s="111"/>
      <c r="AE3" s="111"/>
      <c r="AF3" s="111"/>
      <c r="AG3" s="111"/>
      <c r="AH3" s="111"/>
      <c r="AI3" s="116" t="s">
        <v>226</v>
      </c>
      <c r="AJ3" s="111"/>
      <c r="AK3" s="111"/>
      <c r="AL3" s="111"/>
      <c r="AM3" s="111"/>
      <c r="AN3" s="111"/>
      <c r="AO3" s="111"/>
      <c r="AP3" s="116" t="s">
        <v>227</v>
      </c>
      <c r="AQ3" s="111"/>
      <c r="AR3" s="111"/>
      <c r="AS3" s="111"/>
      <c r="AT3" s="111"/>
      <c r="AU3" s="111"/>
      <c r="AV3" s="111"/>
      <c r="AW3" s="111"/>
      <c r="AX3" s="116" t="s">
        <v>175</v>
      </c>
      <c r="AY3" s="111"/>
      <c r="AZ3" s="111"/>
      <c r="BA3" s="111"/>
      <c r="BB3" s="111"/>
      <c r="BC3" s="111"/>
      <c r="BD3" s="117"/>
    </row>
    <row r="4" spans="1:56" s="129" customFormat="1" ht="75.75" customHeight="1" x14ac:dyDescent="0.2">
      <c r="A4" s="119" t="s">
        <v>0</v>
      </c>
      <c r="B4" s="120" t="s">
        <v>1</v>
      </c>
      <c r="C4" s="121" t="s">
        <v>2</v>
      </c>
      <c r="D4" s="122" t="s">
        <v>3</v>
      </c>
      <c r="E4" s="122" t="s">
        <v>4</v>
      </c>
      <c r="F4" s="122" t="s">
        <v>5</v>
      </c>
      <c r="G4" s="123" t="s">
        <v>22</v>
      </c>
      <c r="H4" s="123" t="s">
        <v>23</v>
      </c>
      <c r="I4" s="122" t="s">
        <v>176</v>
      </c>
      <c r="J4" s="122" t="s">
        <v>177</v>
      </c>
      <c r="K4" s="124" t="s">
        <v>178</v>
      </c>
      <c r="L4" s="125" t="s">
        <v>6</v>
      </c>
      <c r="M4" s="123" t="s">
        <v>220</v>
      </c>
      <c r="N4" s="123" t="s">
        <v>7</v>
      </c>
      <c r="O4" s="123" t="s">
        <v>221</v>
      </c>
      <c r="P4" s="123" t="s">
        <v>222</v>
      </c>
      <c r="Q4" s="126" t="s">
        <v>223</v>
      </c>
      <c r="R4" s="125" t="s">
        <v>224</v>
      </c>
      <c r="S4" s="123" t="s">
        <v>225</v>
      </c>
      <c r="T4" s="125" t="s">
        <v>179</v>
      </c>
      <c r="U4" s="123" t="s">
        <v>8</v>
      </c>
      <c r="V4" s="127" t="s">
        <v>9</v>
      </c>
      <c r="W4" s="125" t="s">
        <v>10</v>
      </c>
      <c r="X4" s="123" t="s">
        <v>11</v>
      </c>
      <c r="Y4" s="123" t="s">
        <v>12</v>
      </c>
      <c r="Z4" s="127" t="s">
        <v>13</v>
      </c>
      <c r="AA4" s="125" t="s">
        <v>14</v>
      </c>
      <c r="AB4" s="125" t="s">
        <v>15</v>
      </c>
      <c r="AC4" s="123" t="s">
        <v>16</v>
      </c>
      <c r="AD4" s="123" t="s">
        <v>17</v>
      </c>
      <c r="AE4" s="123" t="s">
        <v>18</v>
      </c>
      <c r="AF4" s="123" t="s">
        <v>180</v>
      </c>
      <c r="AG4" s="127" t="s">
        <v>181</v>
      </c>
      <c r="AH4" s="126" t="s">
        <v>19</v>
      </c>
      <c r="AI4" s="125" t="s">
        <v>15</v>
      </c>
      <c r="AJ4" s="123" t="s">
        <v>16</v>
      </c>
      <c r="AK4" s="123" t="s">
        <v>17</v>
      </c>
      <c r="AL4" s="123" t="s">
        <v>18</v>
      </c>
      <c r="AM4" s="123" t="s">
        <v>180</v>
      </c>
      <c r="AN4" s="127" t="s">
        <v>181</v>
      </c>
      <c r="AO4" s="126" t="s">
        <v>19</v>
      </c>
      <c r="AP4" s="125" t="s">
        <v>15</v>
      </c>
      <c r="AQ4" s="123" t="s">
        <v>16</v>
      </c>
      <c r="AR4" s="123" t="s">
        <v>17</v>
      </c>
      <c r="AS4" s="123" t="s">
        <v>18</v>
      </c>
      <c r="AT4" s="123" t="s">
        <v>180</v>
      </c>
      <c r="AU4" s="127" t="s">
        <v>181</v>
      </c>
      <c r="AV4" s="126" t="s">
        <v>19</v>
      </c>
      <c r="AW4" s="125" t="s">
        <v>182</v>
      </c>
      <c r="AX4" s="125" t="s">
        <v>20</v>
      </c>
      <c r="AY4" s="127" t="s">
        <v>183</v>
      </c>
      <c r="AZ4" s="125" t="s">
        <v>21</v>
      </c>
      <c r="BA4" s="123" t="s">
        <v>184</v>
      </c>
      <c r="BB4" s="123" t="s">
        <v>185</v>
      </c>
      <c r="BC4" s="127" t="s">
        <v>186</v>
      </c>
      <c r="BD4" s="128" t="s">
        <v>230</v>
      </c>
    </row>
    <row r="5" spans="1:56" x14ac:dyDescent="0.2">
      <c r="A5" s="130">
        <v>1</v>
      </c>
      <c r="B5" s="131" t="s">
        <v>24</v>
      </c>
      <c r="C5" s="132">
        <v>0</v>
      </c>
      <c r="D5" s="133">
        <v>0</v>
      </c>
      <c r="E5" s="133">
        <v>58700</v>
      </c>
      <c r="F5" s="133">
        <v>11004800</v>
      </c>
      <c r="G5" s="134">
        <v>7640100</v>
      </c>
      <c r="H5" s="134">
        <v>9168100</v>
      </c>
      <c r="I5" s="133">
        <v>0</v>
      </c>
      <c r="J5" s="133">
        <v>0</v>
      </c>
      <c r="K5" s="135">
        <v>0</v>
      </c>
      <c r="L5" s="136">
        <v>1.44</v>
      </c>
      <c r="M5" s="137">
        <v>1.44</v>
      </c>
      <c r="N5" s="133">
        <v>74111</v>
      </c>
      <c r="O5" s="133">
        <v>74581</v>
      </c>
      <c r="P5" s="133">
        <v>4144</v>
      </c>
      <c r="Q5" s="138">
        <v>10114.1162</v>
      </c>
      <c r="R5" s="139">
        <v>6595</v>
      </c>
      <c r="S5" s="134">
        <v>231</v>
      </c>
      <c r="T5" s="144">
        <v>4326261.7599999988</v>
      </c>
      <c r="U5" s="193">
        <v>683383</v>
      </c>
      <c r="V5" s="194">
        <v>197500</v>
      </c>
      <c r="W5" s="144">
        <v>19779781</v>
      </c>
      <c r="X5" s="193">
        <v>657483</v>
      </c>
      <c r="Y5" s="193">
        <v>1875047</v>
      </c>
      <c r="Z5" s="194">
        <v>5368469</v>
      </c>
      <c r="AA5" s="143">
        <v>7202668.2499999991</v>
      </c>
      <c r="AB5" s="195">
        <v>2028.9029028655323</v>
      </c>
      <c r="AC5" s="195">
        <v>133.18219427615335</v>
      </c>
      <c r="AD5" s="195">
        <v>304.06910445143097</v>
      </c>
      <c r="AE5" s="195">
        <v>100.24527332418299</v>
      </c>
      <c r="AF5" s="195">
        <v>72.545708914106314</v>
      </c>
      <c r="AG5" s="195">
        <v>58.282237454628863</v>
      </c>
      <c r="AH5" s="143">
        <v>2697.2274212860352</v>
      </c>
      <c r="AI5" s="195">
        <v>2034.963652675526</v>
      </c>
      <c r="AJ5" s="195">
        <v>130.88587888783113</v>
      </c>
      <c r="AK5" s="195">
        <v>342.76430636936129</v>
      </c>
      <c r="AL5" s="195">
        <v>102.80474890158588</v>
      </c>
      <c r="AM5" s="195">
        <v>64.070754392316189</v>
      </c>
      <c r="AN5" s="195">
        <v>40.292805138037835</v>
      </c>
      <c r="AO5" s="143">
        <v>2715.7821463646583</v>
      </c>
      <c r="AP5" s="140">
        <v>2031.933277770529</v>
      </c>
      <c r="AQ5" s="141">
        <v>132.03403658199224</v>
      </c>
      <c r="AR5" s="114">
        <v>323.41670541039616</v>
      </c>
      <c r="AS5" s="114">
        <v>101.52501111288444</v>
      </c>
      <c r="AT5" s="141">
        <v>68.308231653211251</v>
      </c>
      <c r="AU5" s="142">
        <v>49.287521296333352</v>
      </c>
      <c r="AV5" s="143">
        <v>2706.5047838253458</v>
      </c>
      <c r="AW5" s="144">
        <v>2330.2499687959903</v>
      </c>
      <c r="AX5" s="145">
        <v>0.94499999999999995</v>
      </c>
      <c r="AY5" s="146">
        <v>-0.45812789582399388</v>
      </c>
      <c r="AZ5" s="144">
        <v>1375.2212389380531</v>
      </c>
      <c r="BA5" s="141">
        <v>11971.431008989712</v>
      </c>
      <c r="BB5" s="141">
        <v>7150</v>
      </c>
      <c r="BC5" s="142">
        <v>210</v>
      </c>
      <c r="BD5" s="147">
        <v>1.036</v>
      </c>
    </row>
    <row r="6" spans="1:56" x14ac:dyDescent="0.2">
      <c r="A6" s="148">
        <v>2</v>
      </c>
      <c r="B6" s="149" t="s">
        <v>25</v>
      </c>
      <c r="C6" s="150">
        <v>1360000</v>
      </c>
      <c r="D6" s="151">
        <v>0</v>
      </c>
      <c r="E6" s="151">
        <v>0</v>
      </c>
      <c r="F6" s="151">
        <v>100000</v>
      </c>
      <c r="G6" s="152"/>
      <c r="H6" s="152"/>
      <c r="I6" s="151">
        <v>0</v>
      </c>
      <c r="J6" s="151">
        <v>0</v>
      </c>
      <c r="K6" s="153">
        <v>0</v>
      </c>
      <c r="L6" s="154">
        <v>1.3</v>
      </c>
      <c r="M6" s="155">
        <v>1.4</v>
      </c>
      <c r="N6" s="151">
        <v>9572</v>
      </c>
      <c r="O6" s="151">
        <v>9588</v>
      </c>
      <c r="P6" s="151">
        <v>462</v>
      </c>
      <c r="Q6" s="156">
        <v>1318.7324000000001</v>
      </c>
      <c r="R6" s="157">
        <v>1072</v>
      </c>
      <c r="S6" s="158">
        <v>25</v>
      </c>
      <c r="T6" s="164">
        <v>217165.00000000003</v>
      </c>
      <c r="U6" s="196">
        <v>21890.5</v>
      </c>
      <c r="V6" s="197">
        <v>14355.15</v>
      </c>
      <c r="W6" s="164">
        <v>1381431.51</v>
      </c>
      <c r="X6" s="196">
        <v>64482.3</v>
      </c>
      <c r="Y6" s="196">
        <v>207059.20000000001</v>
      </c>
      <c r="Z6" s="197">
        <v>3772.4</v>
      </c>
      <c r="AA6" s="163">
        <v>785926.55</v>
      </c>
      <c r="AB6" s="196">
        <v>1686.7555212999796</v>
      </c>
      <c r="AC6" s="196">
        <v>53.006821980777268</v>
      </c>
      <c r="AD6" s="196">
        <v>132.3065921437526</v>
      </c>
      <c r="AE6" s="196">
        <v>82.785091164259555</v>
      </c>
      <c r="AF6" s="196">
        <v>53.955275804429583</v>
      </c>
      <c r="AG6" s="196">
        <v>48.307072712076888</v>
      </c>
      <c r="AH6" s="163">
        <v>2057.1163751052754</v>
      </c>
      <c r="AI6" s="196">
        <v>1799.5093191066126</v>
      </c>
      <c r="AJ6" s="196">
        <v>49.539337366152139</v>
      </c>
      <c r="AK6" s="196">
        <v>114.17775344180225</v>
      </c>
      <c r="AL6" s="196">
        <v>84.60184110375917</v>
      </c>
      <c r="AM6" s="196">
        <v>53.632537199276875</v>
      </c>
      <c r="AN6" s="196">
        <v>39.00705395633431</v>
      </c>
      <c r="AO6" s="163">
        <v>2140.4678421739372</v>
      </c>
      <c r="AP6" s="159">
        <v>1743.1324202032961</v>
      </c>
      <c r="AQ6" s="160">
        <v>51.273079673464707</v>
      </c>
      <c r="AR6" s="161">
        <v>123.24217279277742</v>
      </c>
      <c r="AS6" s="161">
        <v>83.693466134009356</v>
      </c>
      <c r="AT6" s="160">
        <v>53.793906501853229</v>
      </c>
      <c r="AU6" s="162">
        <v>43.657063334205603</v>
      </c>
      <c r="AV6" s="163">
        <v>2098.7921086396068</v>
      </c>
      <c r="AW6" s="164">
        <v>2330.2499687959903</v>
      </c>
      <c r="AX6" s="165">
        <v>0.94499999999999995</v>
      </c>
      <c r="AY6" s="166">
        <v>0</v>
      </c>
      <c r="AZ6" s="164">
        <v>1375.2212389380531</v>
      </c>
      <c r="BA6" s="160">
        <v>11971.431008989712</v>
      </c>
      <c r="BB6" s="160">
        <v>7150</v>
      </c>
      <c r="BC6" s="162">
        <v>210</v>
      </c>
      <c r="BD6" s="167"/>
    </row>
    <row r="7" spans="1:56" x14ac:dyDescent="0.2">
      <c r="A7" s="168">
        <v>3</v>
      </c>
      <c r="B7" s="169" t="s">
        <v>26</v>
      </c>
      <c r="C7" s="170">
        <v>511500</v>
      </c>
      <c r="D7" s="104">
        <v>533300</v>
      </c>
      <c r="E7" s="104">
        <v>457800</v>
      </c>
      <c r="F7" s="104">
        <v>37200</v>
      </c>
      <c r="I7" s="104">
        <v>0</v>
      </c>
      <c r="J7" s="104">
        <v>0</v>
      </c>
      <c r="K7" s="171">
        <v>0</v>
      </c>
      <c r="L7" s="172">
        <v>1.46</v>
      </c>
      <c r="M7" s="173">
        <v>1.45</v>
      </c>
      <c r="N7" s="104">
        <v>1214</v>
      </c>
      <c r="O7" s="104">
        <v>1223</v>
      </c>
      <c r="P7" s="104">
        <v>63</v>
      </c>
      <c r="Q7" s="174">
        <v>695.2360000000001</v>
      </c>
      <c r="R7" s="175">
        <v>177</v>
      </c>
      <c r="S7" s="176">
        <v>1</v>
      </c>
      <c r="T7" s="182">
        <v>107780.84999999999</v>
      </c>
      <c r="U7" s="195">
        <v>-599.15</v>
      </c>
      <c r="V7" s="198">
        <v>0</v>
      </c>
      <c r="W7" s="182">
        <v>87283.05</v>
      </c>
      <c r="X7" s="195">
        <v>0</v>
      </c>
      <c r="Y7" s="195">
        <v>-14885.95</v>
      </c>
      <c r="Z7" s="198">
        <v>0</v>
      </c>
      <c r="AA7" s="181">
        <v>69639.05</v>
      </c>
      <c r="AB7" s="195">
        <v>1608.7713884794357</v>
      </c>
      <c r="AC7" s="195">
        <v>26.75897858319605</v>
      </c>
      <c r="AD7" s="195">
        <v>37.360680944535964</v>
      </c>
      <c r="AE7" s="195">
        <v>86.6104922401191</v>
      </c>
      <c r="AF7" s="195">
        <v>69.986847885777053</v>
      </c>
      <c r="AG7" s="195">
        <v>38.990115321252063</v>
      </c>
      <c r="AH7" s="181">
        <v>1868.4785034543158</v>
      </c>
      <c r="AI7" s="195">
        <v>1604.6396955861517</v>
      </c>
      <c r="AJ7" s="195">
        <v>37.222785500136276</v>
      </c>
      <c r="AK7" s="195">
        <v>43.799563913872994</v>
      </c>
      <c r="AL7" s="195">
        <v>89.013660871197501</v>
      </c>
      <c r="AM7" s="195">
        <v>47.529463068956119</v>
      </c>
      <c r="AN7" s="195">
        <v>137.4104388116653</v>
      </c>
      <c r="AO7" s="181">
        <v>1959.61560775198</v>
      </c>
      <c r="AP7" s="177">
        <v>1606.7055420327938</v>
      </c>
      <c r="AQ7" s="178">
        <v>31.990882041666161</v>
      </c>
      <c r="AR7" s="179">
        <v>40.580122429204479</v>
      </c>
      <c r="AS7" s="179">
        <v>87.812076555658308</v>
      </c>
      <c r="AT7" s="178">
        <v>58.758155477366586</v>
      </c>
      <c r="AU7" s="180">
        <v>88.200277066458682</v>
      </c>
      <c r="AV7" s="181">
        <v>1914.047055603148</v>
      </c>
      <c r="AW7" s="182">
        <v>2330.2499687959903</v>
      </c>
      <c r="AX7" s="183">
        <v>0.94499999999999995</v>
      </c>
      <c r="AY7" s="184">
        <v>0</v>
      </c>
      <c r="AZ7" s="182">
        <v>1375.2212389380531</v>
      </c>
      <c r="BA7" s="178">
        <v>11971.431008989712</v>
      </c>
      <c r="BB7" s="178">
        <v>7150</v>
      </c>
      <c r="BC7" s="180">
        <v>210</v>
      </c>
      <c r="BD7" s="185"/>
    </row>
    <row r="8" spans="1:56" x14ac:dyDescent="0.2">
      <c r="A8" s="148">
        <v>4</v>
      </c>
      <c r="B8" s="149" t="s">
        <v>27</v>
      </c>
      <c r="C8" s="150">
        <v>671700</v>
      </c>
      <c r="D8" s="151">
        <v>772100</v>
      </c>
      <c r="E8" s="151">
        <v>438100</v>
      </c>
      <c r="F8" s="151">
        <v>100</v>
      </c>
      <c r="G8" s="152"/>
      <c r="H8" s="152"/>
      <c r="I8" s="151">
        <v>0</v>
      </c>
      <c r="J8" s="151">
        <v>0</v>
      </c>
      <c r="K8" s="153">
        <v>0</v>
      </c>
      <c r="L8" s="154">
        <v>1.42</v>
      </c>
      <c r="M8" s="155">
        <v>1.42</v>
      </c>
      <c r="N8" s="151">
        <v>1178</v>
      </c>
      <c r="O8" s="151">
        <v>1167</v>
      </c>
      <c r="P8" s="151">
        <v>46</v>
      </c>
      <c r="Q8" s="156">
        <v>854.79699999999991</v>
      </c>
      <c r="R8" s="157">
        <v>169</v>
      </c>
      <c r="S8" s="158">
        <v>3</v>
      </c>
      <c r="T8" s="164">
        <v>38895.5</v>
      </c>
      <c r="U8" s="196">
        <v>0</v>
      </c>
      <c r="V8" s="197">
        <v>1933.9</v>
      </c>
      <c r="W8" s="164">
        <v>31233.599999999999</v>
      </c>
      <c r="X8" s="196">
        <v>0</v>
      </c>
      <c r="Y8" s="196">
        <v>163</v>
      </c>
      <c r="Z8" s="197">
        <v>0</v>
      </c>
      <c r="AA8" s="163">
        <v>59690.600000000006</v>
      </c>
      <c r="AB8" s="196">
        <v>1506.7243931347894</v>
      </c>
      <c r="AC8" s="196">
        <v>33.47113752122241</v>
      </c>
      <c r="AD8" s="196">
        <v>35.586078098471987</v>
      </c>
      <c r="AE8" s="196">
        <v>80.394413809506247</v>
      </c>
      <c r="AF8" s="196">
        <v>24.158602150537632</v>
      </c>
      <c r="AG8" s="196">
        <v>90.909705715902675</v>
      </c>
      <c r="AH8" s="163">
        <v>1771.2443304304302</v>
      </c>
      <c r="AI8" s="196">
        <v>1538.4102252539062</v>
      </c>
      <c r="AJ8" s="196">
        <v>35.550357040845476</v>
      </c>
      <c r="AK8" s="196">
        <v>108.02316481005428</v>
      </c>
      <c r="AL8" s="196">
        <v>84.268398754671367</v>
      </c>
      <c r="AM8" s="196">
        <v>50.20342759211654</v>
      </c>
      <c r="AN8" s="196">
        <v>20.969237360754072</v>
      </c>
      <c r="AO8" s="163">
        <v>1837.4248108123479</v>
      </c>
      <c r="AP8" s="159">
        <v>1522.5673091943477</v>
      </c>
      <c r="AQ8" s="160">
        <v>34.510747281033943</v>
      </c>
      <c r="AR8" s="161">
        <v>71.804621454263128</v>
      </c>
      <c r="AS8" s="161">
        <v>82.331406282088807</v>
      </c>
      <c r="AT8" s="160">
        <v>37.181014871327086</v>
      </c>
      <c r="AU8" s="162">
        <v>55.939471538328377</v>
      </c>
      <c r="AV8" s="163">
        <v>1804.334570621389</v>
      </c>
      <c r="AW8" s="164">
        <v>2330.2499687959903</v>
      </c>
      <c r="AX8" s="165">
        <v>0.94499999999999995</v>
      </c>
      <c r="AY8" s="166">
        <v>0</v>
      </c>
      <c r="AZ8" s="164">
        <v>1375.2212389380531</v>
      </c>
      <c r="BA8" s="160">
        <v>11971.431008989712</v>
      </c>
      <c r="BB8" s="160">
        <v>7150</v>
      </c>
      <c r="BC8" s="162">
        <v>210</v>
      </c>
      <c r="BD8" s="167"/>
    </row>
    <row r="9" spans="1:56" x14ac:dyDescent="0.2">
      <c r="A9" s="168">
        <v>5</v>
      </c>
      <c r="B9" s="169" t="s">
        <v>28</v>
      </c>
      <c r="C9" s="170">
        <v>0</v>
      </c>
      <c r="D9" s="104">
        <v>0</v>
      </c>
      <c r="E9" s="104">
        <v>0</v>
      </c>
      <c r="F9" s="104">
        <v>0</v>
      </c>
      <c r="I9" s="104">
        <v>0</v>
      </c>
      <c r="J9" s="104">
        <v>0</v>
      </c>
      <c r="K9" s="171">
        <v>0</v>
      </c>
      <c r="L9" s="172">
        <v>0.92</v>
      </c>
      <c r="M9" s="173">
        <v>0.9</v>
      </c>
      <c r="N9" s="104">
        <v>3576</v>
      </c>
      <c r="O9" s="104">
        <v>3586</v>
      </c>
      <c r="P9" s="104">
        <v>138</v>
      </c>
      <c r="Q9" s="174">
        <v>1010.8138000000001</v>
      </c>
      <c r="R9" s="175">
        <v>463</v>
      </c>
      <c r="S9" s="176">
        <v>7</v>
      </c>
      <c r="T9" s="182">
        <v>113726.3</v>
      </c>
      <c r="U9" s="195">
        <v>0</v>
      </c>
      <c r="V9" s="198">
        <v>0</v>
      </c>
      <c r="W9" s="182">
        <v>59171.3</v>
      </c>
      <c r="X9" s="195">
        <v>0</v>
      </c>
      <c r="Y9" s="195">
        <v>13895.7</v>
      </c>
      <c r="Z9" s="198">
        <v>1407.2</v>
      </c>
      <c r="AA9" s="181">
        <v>198968.75</v>
      </c>
      <c r="AB9" s="195">
        <v>3540.6786220935451</v>
      </c>
      <c r="AC9" s="195">
        <v>21.995712155108126</v>
      </c>
      <c r="AD9" s="195">
        <v>144.79610365398955</v>
      </c>
      <c r="AE9" s="195">
        <v>118.466520979793</v>
      </c>
      <c r="AF9" s="195">
        <v>52.868232662192398</v>
      </c>
      <c r="AG9" s="195">
        <v>134.82194258016406</v>
      </c>
      <c r="AH9" s="181">
        <v>4013.6271341247925</v>
      </c>
      <c r="AI9" s="195">
        <v>3825.9086545354148</v>
      </c>
      <c r="AJ9" s="195">
        <v>22.310485220301175</v>
      </c>
      <c r="AK9" s="195">
        <v>132.44314928425359</v>
      </c>
      <c r="AL9" s="195">
        <v>122.11124516180115</v>
      </c>
      <c r="AM9" s="195">
        <v>54.111173080498233</v>
      </c>
      <c r="AN9" s="195">
        <v>45.464612381483548</v>
      </c>
      <c r="AO9" s="181">
        <v>4202.3493196637519</v>
      </c>
      <c r="AP9" s="177">
        <v>3683.2936383144797</v>
      </c>
      <c r="AQ9" s="178">
        <v>22.153098687704649</v>
      </c>
      <c r="AR9" s="179">
        <v>138.61962646912156</v>
      </c>
      <c r="AS9" s="179">
        <v>120.28888307079708</v>
      </c>
      <c r="AT9" s="178">
        <v>53.489702871345315</v>
      </c>
      <c r="AU9" s="180">
        <v>90.143277480823798</v>
      </c>
      <c r="AV9" s="181">
        <v>4107.988226894272</v>
      </c>
      <c r="AW9" s="182">
        <v>2330.2499687959903</v>
      </c>
      <c r="AX9" s="183">
        <v>0.94499999999999995</v>
      </c>
      <c r="AY9" s="184">
        <v>-1</v>
      </c>
      <c r="AZ9" s="182">
        <v>1375.2212389380531</v>
      </c>
      <c r="BA9" s="178">
        <v>11971.431008989712</v>
      </c>
      <c r="BB9" s="178">
        <v>7150</v>
      </c>
      <c r="BC9" s="180">
        <v>210</v>
      </c>
      <c r="BD9" s="185"/>
    </row>
    <row r="10" spans="1:56" x14ac:dyDescent="0.2">
      <c r="A10" s="148">
        <v>6</v>
      </c>
      <c r="B10" s="149" t="s">
        <v>29</v>
      </c>
      <c r="C10" s="150">
        <v>0</v>
      </c>
      <c r="D10" s="151">
        <v>0</v>
      </c>
      <c r="E10" s="151">
        <v>13700</v>
      </c>
      <c r="F10" s="151">
        <v>30800</v>
      </c>
      <c r="G10" s="152"/>
      <c r="H10" s="152"/>
      <c r="I10" s="151">
        <v>0</v>
      </c>
      <c r="J10" s="151">
        <v>0</v>
      </c>
      <c r="K10" s="153">
        <v>0</v>
      </c>
      <c r="L10" s="154">
        <v>1.1399999999999999</v>
      </c>
      <c r="M10" s="155">
        <v>1.1399999999999999</v>
      </c>
      <c r="N10" s="151">
        <v>9151</v>
      </c>
      <c r="O10" s="151">
        <v>9267</v>
      </c>
      <c r="P10" s="151">
        <v>539</v>
      </c>
      <c r="Q10" s="156">
        <v>1211.6299999999999</v>
      </c>
      <c r="R10" s="157">
        <v>975</v>
      </c>
      <c r="S10" s="158">
        <v>29</v>
      </c>
      <c r="T10" s="164">
        <v>5150.6500000000005</v>
      </c>
      <c r="U10" s="196">
        <v>6345</v>
      </c>
      <c r="V10" s="197">
        <v>27399.95</v>
      </c>
      <c r="W10" s="164">
        <v>900018.8899999999</v>
      </c>
      <c r="X10" s="196">
        <v>18690.699999999997</v>
      </c>
      <c r="Y10" s="196">
        <v>157498.5</v>
      </c>
      <c r="Z10" s="197">
        <v>116213.35</v>
      </c>
      <c r="AA10" s="163">
        <v>666545.30000000005</v>
      </c>
      <c r="AB10" s="196">
        <v>1939.7450525894494</v>
      </c>
      <c r="AC10" s="196">
        <v>48.167070994062577</v>
      </c>
      <c r="AD10" s="196">
        <v>236.27433431683238</v>
      </c>
      <c r="AE10" s="196">
        <v>88.627770195386972</v>
      </c>
      <c r="AF10" s="196">
        <v>52.911430444760136</v>
      </c>
      <c r="AG10" s="196">
        <v>45.161137216333366</v>
      </c>
      <c r="AH10" s="163">
        <v>2410.886795756825</v>
      </c>
      <c r="AI10" s="196">
        <v>1895.4977510210424</v>
      </c>
      <c r="AJ10" s="196">
        <v>50.391280889176649</v>
      </c>
      <c r="AK10" s="196">
        <v>126.09509370166542</v>
      </c>
      <c r="AL10" s="196">
        <v>89.896052724143047</v>
      </c>
      <c r="AM10" s="196">
        <v>59.38524513506708</v>
      </c>
      <c r="AN10" s="196">
        <v>42.534171432682278</v>
      </c>
      <c r="AO10" s="163">
        <v>2263.7995949037768</v>
      </c>
      <c r="AP10" s="159">
        <v>1917.621401805246</v>
      </c>
      <c r="AQ10" s="160">
        <v>49.279175941619613</v>
      </c>
      <c r="AR10" s="161">
        <v>181.18471400924889</v>
      </c>
      <c r="AS10" s="161">
        <v>89.261911459765003</v>
      </c>
      <c r="AT10" s="160">
        <v>56.148337789913612</v>
      </c>
      <c r="AU10" s="162">
        <v>43.847654324507822</v>
      </c>
      <c r="AV10" s="163">
        <v>2337.3431953303011</v>
      </c>
      <c r="AW10" s="164">
        <v>2330.2499687959903</v>
      </c>
      <c r="AX10" s="165">
        <v>0.94499999999999995</v>
      </c>
      <c r="AY10" s="166">
        <v>-0.12284439506335895</v>
      </c>
      <c r="AZ10" s="164">
        <v>1375.2212389380531</v>
      </c>
      <c r="BA10" s="160">
        <v>11971.431008989712</v>
      </c>
      <c r="BB10" s="160">
        <v>7150</v>
      </c>
      <c r="BC10" s="162">
        <v>210</v>
      </c>
      <c r="BD10" s="167"/>
    </row>
    <row r="11" spans="1:56" x14ac:dyDescent="0.2">
      <c r="A11" s="168">
        <v>7</v>
      </c>
      <c r="B11" s="169" t="s">
        <v>30</v>
      </c>
      <c r="C11" s="170">
        <v>0</v>
      </c>
      <c r="D11" s="104">
        <v>0</v>
      </c>
      <c r="E11" s="104">
        <v>0</v>
      </c>
      <c r="F11" s="104">
        <v>68800</v>
      </c>
      <c r="I11" s="104">
        <v>0</v>
      </c>
      <c r="J11" s="104">
        <v>0</v>
      </c>
      <c r="K11" s="171">
        <v>0</v>
      </c>
      <c r="L11" s="172">
        <v>1.27</v>
      </c>
      <c r="M11" s="173">
        <v>1.24</v>
      </c>
      <c r="N11" s="104">
        <v>3402</v>
      </c>
      <c r="O11" s="104">
        <v>3486</v>
      </c>
      <c r="P11" s="104">
        <v>180</v>
      </c>
      <c r="Q11" s="174">
        <v>577.21100000000001</v>
      </c>
      <c r="R11" s="175">
        <v>384</v>
      </c>
      <c r="S11" s="176">
        <v>4</v>
      </c>
      <c r="T11" s="182">
        <v>0</v>
      </c>
      <c r="U11" s="195">
        <v>0</v>
      </c>
      <c r="V11" s="198">
        <v>9954.9</v>
      </c>
      <c r="W11" s="182">
        <v>511537.55</v>
      </c>
      <c r="X11" s="195">
        <v>15175</v>
      </c>
      <c r="Y11" s="195">
        <v>16459</v>
      </c>
      <c r="Z11" s="198">
        <v>12685</v>
      </c>
      <c r="AA11" s="181">
        <v>318350</v>
      </c>
      <c r="AB11" s="195">
        <v>1819.3365782141882</v>
      </c>
      <c r="AC11" s="195">
        <v>138.88228493043306</v>
      </c>
      <c r="AD11" s="195">
        <v>217.12197726827361</v>
      </c>
      <c r="AE11" s="195">
        <v>102.85760821246039</v>
      </c>
      <c r="AF11" s="195">
        <v>122.57393689986284</v>
      </c>
      <c r="AG11" s="195">
        <v>41.681716637272189</v>
      </c>
      <c r="AH11" s="181">
        <v>2442.4541021624905</v>
      </c>
      <c r="AI11" s="195">
        <v>1898.955067218234</v>
      </c>
      <c r="AJ11" s="195">
        <v>119.43734939759034</v>
      </c>
      <c r="AK11" s="195">
        <v>200.91701090074585</v>
      </c>
      <c r="AL11" s="195">
        <v>102.78808406749708</v>
      </c>
      <c r="AM11" s="195">
        <v>78.659667240390135</v>
      </c>
      <c r="AN11" s="195">
        <v>55.104675846242117</v>
      </c>
      <c r="AO11" s="181">
        <v>2455.8618546706998</v>
      </c>
      <c r="AP11" s="177">
        <v>1859.1458227162111</v>
      </c>
      <c r="AQ11" s="178">
        <v>129.15981716401171</v>
      </c>
      <c r="AR11" s="179">
        <v>209.01949408450974</v>
      </c>
      <c r="AS11" s="179">
        <v>102.82284613997874</v>
      </c>
      <c r="AT11" s="178">
        <v>100.61680207012648</v>
      </c>
      <c r="AU11" s="180">
        <v>48.393196241757153</v>
      </c>
      <c r="AV11" s="181">
        <v>2449.1579784165951</v>
      </c>
      <c r="AW11" s="182">
        <v>2330.2499687959903</v>
      </c>
      <c r="AX11" s="183">
        <v>0.94499999999999995</v>
      </c>
      <c r="AY11" s="184">
        <v>-0.22439789650644532</v>
      </c>
      <c r="AZ11" s="182">
        <v>1375.2212389380531</v>
      </c>
      <c r="BA11" s="178">
        <v>11971.431008989712</v>
      </c>
      <c r="BB11" s="178">
        <v>7150</v>
      </c>
      <c r="BC11" s="180">
        <v>210</v>
      </c>
      <c r="BD11" s="185"/>
    </row>
    <row r="12" spans="1:56" x14ac:dyDescent="0.2">
      <c r="A12" s="148">
        <v>8</v>
      </c>
      <c r="B12" s="149" t="s">
        <v>31</v>
      </c>
      <c r="C12" s="150">
        <v>0</v>
      </c>
      <c r="D12" s="151">
        <v>56900</v>
      </c>
      <c r="E12" s="151">
        <v>69500</v>
      </c>
      <c r="F12" s="151">
        <v>0</v>
      </c>
      <c r="G12" s="152"/>
      <c r="H12" s="152"/>
      <c r="I12" s="151">
        <v>0</v>
      </c>
      <c r="J12" s="151">
        <v>0</v>
      </c>
      <c r="K12" s="153">
        <v>0</v>
      </c>
      <c r="L12" s="154">
        <v>1.28</v>
      </c>
      <c r="M12" s="155">
        <v>1.28</v>
      </c>
      <c r="N12" s="151">
        <v>835</v>
      </c>
      <c r="O12" s="151">
        <v>838</v>
      </c>
      <c r="P12" s="151">
        <v>21</v>
      </c>
      <c r="Q12" s="156">
        <v>274.279</v>
      </c>
      <c r="R12" s="157">
        <v>104</v>
      </c>
      <c r="S12" s="158">
        <v>1</v>
      </c>
      <c r="T12" s="164">
        <v>0</v>
      </c>
      <c r="U12" s="196">
        <v>0</v>
      </c>
      <c r="V12" s="197">
        <v>0</v>
      </c>
      <c r="W12" s="164">
        <v>99669.45</v>
      </c>
      <c r="X12" s="196">
        <v>0</v>
      </c>
      <c r="Y12" s="196">
        <v>20400</v>
      </c>
      <c r="Z12" s="197">
        <v>0</v>
      </c>
      <c r="AA12" s="163">
        <v>29845.300000000003</v>
      </c>
      <c r="AB12" s="196">
        <v>1937.3818310746926</v>
      </c>
      <c r="AC12" s="196">
        <v>21.422834331337327</v>
      </c>
      <c r="AD12" s="196">
        <v>-14.719161676646706</v>
      </c>
      <c r="AE12" s="196">
        <v>93.878610915918614</v>
      </c>
      <c r="AF12" s="196">
        <v>67.30459081836328</v>
      </c>
      <c r="AG12" s="196">
        <v>734.42878243512973</v>
      </c>
      <c r="AH12" s="163">
        <v>2839.6974878987949</v>
      </c>
      <c r="AI12" s="196">
        <v>1981.8227957722468</v>
      </c>
      <c r="AJ12" s="196">
        <v>22.746658711217183</v>
      </c>
      <c r="AK12" s="196">
        <v>28.159785202863969</v>
      </c>
      <c r="AL12" s="196">
        <v>93.66821682795603</v>
      </c>
      <c r="AM12" s="196">
        <v>130.79355608591885</v>
      </c>
      <c r="AN12" s="196">
        <v>77.795823389021479</v>
      </c>
      <c r="AO12" s="163">
        <v>2334.9868359892239</v>
      </c>
      <c r="AP12" s="159">
        <v>1959.6023134234697</v>
      </c>
      <c r="AQ12" s="160">
        <v>22.084746521277253</v>
      </c>
      <c r="AR12" s="161">
        <v>6.7203117631086311</v>
      </c>
      <c r="AS12" s="161">
        <v>93.773413871937322</v>
      </c>
      <c r="AT12" s="160">
        <v>99.049073452141073</v>
      </c>
      <c r="AU12" s="162">
        <v>406.11230291207562</v>
      </c>
      <c r="AV12" s="163">
        <v>2587.3421619440096</v>
      </c>
      <c r="AW12" s="164">
        <v>2330.2499687959903</v>
      </c>
      <c r="AX12" s="165">
        <v>0.94499999999999995</v>
      </c>
      <c r="AY12" s="166">
        <v>-0.34990086931490577</v>
      </c>
      <c r="AZ12" s="164">
        <v>1375.2212389380531</v>
      </c>
      <c r="BA12" s="160">
        <v>11971.431008989712</v>
      </c>
      <c r="BB12" s="160">
        <v>7150</v>
      </c>
      <c r="BC12" s="162">
        <v>210</v>
      </c>
      <c r="BD12" s="167"/>
    </row>
    <row r="13" spans="1:56" x14ac:dyDescent="0.2">
      <c r="A13" s="168">
        <v>9</v>
      </c>
      <c r="B13" s="169" t="s">
        <v>32</v>
      </c>
      <c r="C13" s="170">
        <v>0</v>
      </c>
      <c r="D13" s="104">
        <v>0</v>
      </c>
      <c r="E13" s="104">
        <v>0</v>
      </c>
      <c r="F13" s="104">
        <v>0</v>
      </c>
      <c r="I13" s="104">
        <v>0</v>
      </c>
      <c r="J13" s="104">
        <v>0</v>
      </c>
      <c r="K13" s="171">
        <v>0</v>
      </c>
      <c r="L13" s="172">
        <v>0.9</v>
      </c>
      <c r="M13" s="173">
        <v>0.9</v>
      </c>
      <c r="N13" s="104">
        <v>1286</v>
      </c>
      <c r="O13" s="104">
        <v>1316</v>
      </c>
      <c r="P13" s="104">
        <v>54</v>
      </c>
      <c r="Q13" s="174">
        <v>210.18600000000001</v>
      </c>
      <c r="R13" s="175">
        <v>171</v>
      </c>
      <c r="S13" s="176">
        <v>4</v>
      </c>
      <c r="T13" s="182">
        <v>0</v>
      </c>
      <c r="U13" s="195">
        <v>0</v>
      </c>
      <c r="V13" s="198">
        <v>0</v>
      </c>
      <c r="W13" s="182">
        <v>57042.5</v>
      </c>
      <c r="X13" s="195">
        <v>0</v>
      </c>
      <c r="Y13" s="195">
        <v>34118.15</v>
      </c>
      <c r="Z13" s="198">
        <v>0</v>
      </c>
      <c r="AA13" s="181">
        <v>79587.5</v>
      </c>
      <c r="AB13" s="195">
        <v>2760.4638389519673</v>
      </c>
      <c r="AC13" s="195">
        <v>56.482374287195434</v>
      </c>
      <c r="AD13" s="195">
        <v>374.56583722135821</v>
      </c>
      <c r="AE13" s="195">
        <v>114.75828352290962</v>
      </c>
      <c r="AF13" s="195">
        <v>42.608709175738724</v>
      </c>
      <c r="AG13" s="195">
        <v>36.888387765681699</v>
      </c>
      <c r="AH13" s="181">
        <v>3385.7674309248509</v>
      </c>
      <c r="AI13" s="195">
        <v>2720.110322204348</v>
      </c>
      <c r="AJ13" s="195">
        <v>43.174645390070928</v>
      </c>
      <c r="AK13" s="195">
        <v>303.58105369807498</v>
      </c>
      <c r="AL13" s="195">
        <v>120.05371185789564</v>
      </c>
      <c r="AM13" s="195">
        <v>103.12431610942249</v>
      </c>
      <c r="AN13" s="195">
        <v>85.955319148936184</v>
      </c>
      <c r="AO13" s="181">
        <v>3375.9993684087481</v>
      </c>
      <c r="AP13" s="177">
        <v>2740.2870805781577</v>
      </c>
      <c r="AQ13" s="178">
        <v>49.828509838633181</v>
      </c>
      <c r="AR13" s="179">
        <v>339.07344545971659</v>
      </c>
      <c r="AS13" s="179">
        <v>117.40599769040263</v>
      </c>
      <c r="AT13" s="178">
        <v>72.866512642580602</v>
      </c>
      <c r="AU13" s="180">
        <v>61.421853457308941</v>
      </c>
      <c r="AV13" s="181">
        <v>3380.8833996668</v>
      </c>
      <c r="AW13" s="182">
        <v>2330.2499687959903</v>
      </c>
      <c r="AX13" s="183">
        <v>0.94499999999999995</v>
      </c>
      <c r="AY13" s="184">
        <v>-1</v>
      </c>
      <c r="AZ13" s="182">
        <v>1375.2212389380531</v>
      </c>
      <c r="BA13" s="178">
        <v>11971.431008989712</v>
      </c>
      <c r="BB13" s="178">
        <v>7150</v>
      </c>
      <c r="BC13" s="180">
        <v>210</v>
      </c>
      <c r="BD13" s="185"/>
    </row>
    <row r="14" spans="1:56" x14ac:dyDescent="0.2">
      <c r="A14" s="148">
        <v>10</v>
      </c>
      <c r="B14" s="149" t="s">
        <v>33</v>
      </c>
      <c r="C14" s="150">
        <v>303500</v>
      </c>
      <c r="D14" s="151">
        <v>347900</v>
      </c>
      <c r="E14" s="151">
        <v>491200</v>
      </c>
      <c r="F14" s="151">
        <v>21200</v>
      </c>
      <c r="G14" s="152"/>
      <c r="H14" s="152"/>
      <c r="I14" s="151">
        <v>0</v>
      </c>
      <c r="J14" s="151">
        <v>0</v>
      </c>
      <c r="K14" s="153">
        <v>0</v>
      </c>
      <c r="L14" s="154">
        <v>1.49</v>
      </c>
      <c r="M14" s="155">
        <v>1.49</v>
      </c>
      <c r="N14" s="151">
        <v>1039</v>
      </c>
      <c r="O14" s="151">
        <v>1031</v>
      </c>
      <c r="P14" s="151">
        <v>28</v>
      </c>
      <c r="Q14" s="156">
        <v>512.12760000000003</v>
      </c>
      <c r="R14" s="157">
        <v>158</v>
      </c>
      <c r="S14" s="158">
        <v>2</v>
      </c>
      <c r="T14" s="164">
        <v>74314</v>
      </c>
      <c r="U14" s="196">
        <v>0</v>
      </c>
      <c r="V14" s="197">
        <v>0</v>
      </c>
      <c r="W14" s="164">
        <v>5646.5</v>
      </c>
      <c r="X14" s="196">
        <v>0</v>
      </c>
      <c r="Y14" s="196">
        <v>-955.31</v>
      </c>
      <c r="Z14" s="197">
        <v>0</v>
      </c>
      <c r="AA14" s="163">
        <v>39793.75</v>
      </c>
      <c r="AB14" s="196">
        <v>1737.1629874158134</v>
      </c>
      <c r="AC14" s="196">
        <v>14.029066410009623</v>
      </c>
      <c r="AD14" s="196">
        <v>11.205742701315366</v>
      </c>
      <c r="AE14" s="196">
        <v>88.088862163982242</v>
      </c>
      <c r="AF14" s="196">
        <v>42.09688803336541</v>
      </c>
      <c r="AG14" s="196">
        <v>92.667949951876807</v>
      </c>
      <c r="AH14" s="163">
        <v>1985.2514966763626</v>
      </c>
      <c r="AI14" s="196">
        <v>1825.0670057634704</v>
      </c>
      <c r="AJ14" s="196">
        <v>21.160265114775296</v>
      </c>
      <c r="AK14" s="196">
        <v>18.898803750404138</v>
      </c>
      <c r="AL14" s="196">
        <v>95.468856408175938</v>
      </c>
      <c r="AM14" s="196">
        <v>49.367119301648884</v>
      </c>
      <c r="AN14" s="196">
        <v>17.378726155835757</v>
      </c>
      <c r="AO14" s="163">
        <v>2027.3407764943104</v>
      </c>
      <c r="AP14" s="159">
        <v>1781.114996589642</v>
      </c>
      <c r="AQ14" s="160">
        <v>17.594665762392459</v>
      </c>
      <c r="AR14" s="161">
        <v>15.052273225859752</v>
      </c>
      <c r="AS14" s="161">
        <v>91.778859286079097</v>
      </c>
      <c r="AT14" s="160">
        <v>45.732003667507144</v>
      </c>
      <c r="AU14" s="162">
        <v>55.023338053856278</v>
      </c>
      <c r="AV14" s="163">
        <v>2006.2961365853369</v>
      </c>
      <c r="AW14" s="164">
        <v>2330.2499687959903</v>
      </c>
      <c r="AX14" s="165">
        <v>0.94499999999999995</v>
      </c>
      <c r="AY14" s="166">
        <v>0</v>
      </c>
      <c r="AZ14" s="164">
        <v>1375.2212389380531</v>
      </c>
      <c r="BA14" s="160">
        <v>11971.431008989712</v>
      </c>
      <c r="BB14" s="160">
        <v>7150</v>
      </c>
      <c r="BC14" s="162">
        <v>210</v>
      </c>
      <c r="BD14" s="167"/>
    </row>
    <row r="15" spans="1:56" x14ac:dyDescent="0.2">
      <c r="A15" s="168">
        <v>11</v>
      </c>
      <c r="B15" s="169" t="s">
        <v>34</v>
      </c>
      <c r="C15" s="170">
        <v>239900</v>
      </c>
      <c r="D15" s="104">
        <v>425600</v>
      </c>
      <c r="E15" s="104">
        <v>221700</v>
      </c>
      <c r="F15" s="104">
        <v>66500</v>
      </c>
      <c r="I15" s="104">
        <v>0</v>
      </c>
      <c r="J15" s="104">
        <v>0</v>
      </c>
      <c r="K15" s="171">
        <v>0</v>
      </c>
      <c r="L15" s="172">
        <v>1.47</v>
      </c>
      <c r="M15" s="173">
        <v>1.47</v>
      </c>
      <c r="N15" s="104">
        <v>2238</v>
      </c>
      <c r="O15" s="104">
        <v>2243</v>
      </c>
      <c r="P15" s="104">
        <v>88</v>
      </c>
      <c r="Q15" s="174">
        <v>873.2650000000001</v>
      </c>
      <c r="R15" s="175">
        <v>273</v>
      </c>
      <c r="S15" s="176">
        <v>6</v>
      </c>
      <c r="T15" s="182">
        <v>70929.600000000006</v>
      </c>
      <c r="U15" s="195">
        <v>89203.65</v>
      </c>
      <c r="V15" s="198">
        <v>38767.800000000003</v>
      </c>
      <c r="W15" s="182">
        <v>189748.75</v>
      </c>
      <c r="X15" s="195">
        <v>17670</v>
      </c>
      <c r="Y15" s="195">
        <v>32249</v>
      </c>
      <c r="Z15" s="198">
        <v>19953.900000000001</v>
      </c>
      <c r="AA15" s="181">
        <v>89535.95</v>
      </c>
      <c r="AB15" s="195">
        <v>1836.3014630765242</v>
      </c>
      <c r="AC15" s="195">
        <v>23.542969913613341</v>
      </c>
      <c r="AD15" s="195">
        <v>20.473145665773011</v>
      </c>
      <c r="AE15" s="195">
        <v>85.804976518439688</v>
      </c>
      <c r="AF15" s="195">
        <v>40.771522192433721</v>
      </c>
      <c r="AG15" s="195">
        <v>109.71540065534704</v>
      </c>
      <c r="AH15" s="181">
        <v>2116.609478022131</v>
      </c>
      <c r="AI15" s="195">
        <v>1960.7204930569653</v>
      </c>
      <c r="AJ15" s="195">
        <v>21.492926140585528</v>
      </c>
      <c r="AK15" s="195">
        <v>7.1182642294545984</v>
      </c>
      <c r="AL15" s="195">
        <v>85.870623922237741</v>
      </c>
      <c r="AM15" s="195">
        <v>47.97534551939367</v>
      </c>
      <c r="AN15" s="195">
        <v>19.017268539158863</v>
      </c>
      <c r="AO15" s="181">
        <v>2142.1949214077958</v>
      </c>
      <c r="AP15" s="177">
        <v>1898.5109780667449</v>
      </c>
      <c r="AQ15" s="178">
        <v>22.517948027099436</v>
      </c>
      <c r="AR15" s="179">
        <v>13.795704947613805</v>
      </c>
      <c r="AS15" s="179">
        <v>85.837800220338721</v>
      </c>
      <c r="AT15" s="178">
        <v>44.373433855913696</v>
      </c>
      <c r="AU15" s="180">
        <v>64.366334597252944</v>
      </c>
      <c r="AV15" s="181">
        <v>2129.4021997149639</v>
      </c>
      <c r="AW15" s="182">
        <v>2330.2499687959903</v>
      </c>
      <c r="AX15" s="183">
        <v>0.94499999999999995</v>
      </c>
      <c r="AY15" s="184">
        <v>0</v>
      </c>
      <c r="AZ15" s="182">
        <v>1375.2212389380531</v>
      </c>
      <c r="BA15" s="178">
        <v>11971.431008989712</v>
      </c>
      <c r="BB15" s="178">
        <v>7150</v>
      </c>
      <c r="BC15" s="180">
        <v>210</v>
      </c>
      <c r="BD15" s="185"/>
    </row>
    <row r="16" spans="1:56" x14ac:dyDescent="0.2">
      <c r="A16" s="148">
        <v>12</v>
      </c>
      <c r="B16" s="149" t="s">
        <v>35</v>
      </c>
      <c r="C16" s="150">
        <v>0</v>
      </c>
      <c r="D16" s="151">
        <v>0</v>
      </c>
      <c r="E16" s="151">
        <v>0</v>
      </c>
      <c r="F16" s="151">
        <v>3400</v>
      </c>
      <c r="G16" s="152"/>
      <c r="H16" s="152"/>
      <c r="I16" s="151">
        <v>0</v>
      </c>
      <c r="J16" s="151">
        <v>0</v>
      </c>
      <c r="K16" s="153">
        <v>0</v>
      </c>
      <c r="L16" s="154">
        <v>1.1599999999999999</v>
      </c>
      <c r="M16" s="155">
        <v>1.1599999999999999</v>
      </c>
      <c r="N16" s="151">
        <v>7027</v>
      </c>
      <c r="O16" s="151">
        <v>6965</v>
      </c>
      <c r="P16" s="151">
        <v>330</v>
      </c>
      <c r="Q16" s="156">
        <v>1130.5030000000002</v>
      </c>
      <c r="R16" s="157">
        <v>686</v>
      </c>
      <c r="S16" s="158">
        <v>13</v>
      </c>
      <c r="T16" s="164">
        <v>123050.45</v>
      </c>
      <c r="U16" s="196">
        <v>33517.300000000003</v>
      </c>
      <c r="V16" s="197">
        <v>2320.1999999999998</v>
      </c>
      <c r="W16" s="164">
        <v>840680.04</v>
      </c>
      <c r="X16" s="196">
        <v>0</v>
      </c>
      <c r="Y16" s="196">
        <v>121472.47</v>
      </c>
      <c r="Z16" s="197">
        <v>107619.55</v>
      </c>
      <c r="AA16" s="163">
        <v>457628.1</v>
      </c>
      <c r="AB16" s="196">
        <v>1957.4267115494713</v>
      </c>
      <c r="AC16" s="196">
        <v>83.358555097006786</v>
      </c>
      <c r="AD16" s="196">
        <v>41.597504862198193</v>
      </c>
      <c r="AE16" s="196">
        <v>87.830225759310295</v>
      </c>
      <c r="AF16" s="196">
        <v>76.437744888762396</v>
      </c>
      <c r="AG16" s="196">
        <v>41.816232626535744</v>
      </c>
      <c r="AH16" s="163">
        <v>2288.466974783285</v>
      </c>
      <c r="AI16" s="196">
        <v>2073.1797761985099</v>
      </c>
      <c r="AJ16" s="196">
        <v>74.965934434075152</v>
      </c>
      <c r="AK16" s="196">
        <v>54.030179468772424</v>
      </c>
      <c r="AL16" s="196">
        <v>92.399764398098512</v>
      </c>
      <c r="AM16" s="196">
        <v>89.075463029432882</v>
      </c>
      <c r="AN16" s="196">
        <v>50.847523330940419</v>
      </c>
      <c r="AO16" s="163">
        <v>2434.4986408598293</v>
      </c>
      <c r="AP16" s="159">
        <v>2015.3032438739906</v>
      </c>
      <c r="AQ16" s="160">
        <v>79.162244765540976</v>
      </c>
      <c r="AR16" s="161">
        <v>47.813842165485312</v>
      </c>
      <c r="AS16" s="161">
        <v>90.114995078704396</v>
      </c>
      <c r="AT16" s="160">
        <v>82.756603959097646</v>
      </c>
      <c r="AU16" s="162">
        <v>46.331877978738078</v>
      </c>
      <c r="AV16" s="163">
        <v>2361.4828078215569</v>
      </c>
      <c r="AW16" s="164">
        <v>2330.2499687959903</v>
      </c>
      <c r="AX16" s="165">
        <v>0.94499999999999995</v>
      </c>
      <c r="AY16" s="166">
        <v>-0.14476870689674445</v>
      </c>
      <c r="AZ16" s="164">
        <v>1375.2212389380531</v>
      </c>
      <c r="BA16" s="160">
        <v>11971.431008989712</v>
      </c>
      <c r="BB16" s="160">
        <v>7150</v>
      </c>
      <c r="BC16" s="162">
        <v>210</v>
      </c>
      <c r="BD16" s="167"/>
    </row>
    <row r="17" spans="1:56" x14ac:dyDescent="0.2">
      <c r="A17" s="168">
        <v>13</v>
      </c>
      <c r="B17" s="169" t="s">
        <v>36</v>
      </c>
      <c r="C17" s="170">
        <v>4264700</v>
      </c>
      <c r="D17" s="104">
        <v>0</v>
      </c>
      <c r="E17" s="104">
        <v>35700</v>
      </c>
      <c r="F17" s="104">
        <v>1254300</v>
      </c>
      <c r="I17" s="104">
        <v>180100</v>
      </c>
      <c r="J17" s="104">
        <v>0</v>
      </c>
      <c r="K17" s="171">
        <v>0</v>
      </c>
      <c r="L17" s="172">
        <v>1.49</v>
      </c>
      <c r="M17" s="173">
        <v>1.49</v>
      </c>
      <c r="N17" s="104">
        <v>8918</v>
      </c>
      <c r="O17" s="104">
        <v>8988</v>
      </c>
      <c r="P17" s="104">
        <v>526</v>
      </c>
      <c r="Q17" s="174">
        <v>1127.925</v>
      </c>
      <c r="R17" s="175">
        <v>911</v>
      </c>
      <c r="S17" s="176">
        <v>31</v>
      </c>
      <c r="T17" s="182">
        <v>160742.95000000001</v>
      </c>
      <c r="U17" s="195">
        <v>42975.55</v>
      </c>
      <c r="V17" s="198">
        <v>201668.65</v>
      </c>
      <c r="W17" s="182">
        <v>2394027.61</v>
      </c>
      <c r="X17" s="195">
        <v>115992.3</v>
      </c>
      <c r="Y17" s="195">
        <v>210126.15</v>
      </c>
      <c r="Z17" s="198">
        <v>585171.30000000005</v>
      </c>
      <c r="AA17" s="181">
        <v>935153.1</v>
      </c>
      <c r="AB17" s="195">
        <v>1353.3927552641856</v>
      </c>
      <c r="AC17" s="195">
        <v>172.4044142931898</v>
      </c>
      <c r="AD17" s="195">
        <v>131.57315167825371</v>
      </c>
      <c r="AE17" s="195">
        <v>75.549109344994974</v>
      </c>
      <c r="AF17" s="195">
        <v>48.886940270613742</v>
      </c>
      <c r="AG17" s="195">
        <v>57.365220153995672</v>
      </c>
      <c r="AH17" s="181">
        <v>1839.1715910052335</v>
      </c>
      <c r="AI17" s="195">
        <v>1401.0653982019253</v>
      </c>
      <c r="AJ17" s="195">
        <v>150.98996439697379</v>
      </c>
      <c r="AK17" s="195">
        <v>157.89706275033379</v>
      </c>
      <c r="AL17" s="195">
        <v>80.298696417262207</v>
      </c>
      <c r="AM17" s="195">
        <v>67.193799139593537</v>
      </c>
      <c r="AN17" s="195">
        <v>66.398494288681206</v>
      </c>
      <c r="AO17" s="181">
        <v>1923.8434151947697</v>
      </c>
      <c r="AP17" s="177">
        <v>1377.2290767330555</v>
      </c>
      <c r="AQ17" s="178">
        <v>161.6971893450818</v>
      </c>
      <c r="AR17" s="179">
        <v>144.73510721429375</v>
      </c>
      <c r="AS17" s="179">
        <v>77.923902881128583</v>
      </c>
      <c r="AT17" s="178">
        <v>58.040369705103643</v>
      </c>
      <c r="AU17" s="180">
        <v>61.881857221338436</v>
      </c>
      <c r="AV17" s="181">
        <v>1881.5075031000015</v>
      </c>
      <c r="AW17" s="182">
        <v>2330.2499687959903</v>
      </c>
      <c r="AX17" s="183">
        <v>0.94499999999999995</v>
      </c>
      <c r="AY17" s="184">
        <v>0</v>
      </c>
      <c r="AZ17" s="182">
        <v>1375.2212389380531</v>
      </c>
      <c r="BA17" s="178">
        <v>11971.431008989712</v>
      </c>
      <c r="BB17" s="178">
        <v>7150</v>
      </c>
      <c r="BC17" s="180">
        <v>210</v>
      </c>
      <c r="BD17" s="185"/>
    </row>
    <row r="18" spans="1:56" x14ac:dyDescent="0.2">
      <c r="A18" s="148">
        <v>14</v>
      </c>
      <c r="B18" s="149" t="s">
        <v>37</v>
      </c>
      <c r="C18" s="150">
        <v>0</v>
      </c>
      <c r="D18" s="151">
        <v>0</v>
      </c>
      <c r="E18" s="151">
        <v>45200</v>
      </c>
      <c r="F18" s="151">
        <v>0</v>
      </c>
      <c r="G18" s="152"/>
      <c r="H18" s="152"/>
      <c r="I18" s="151">
        <v>0</v>
      </c>
      <c r="J18" s="151">
        <v>0</v>
      </c>
      <c r="K18" s="153">
        <v>0</v>
      </c>
      <c r="L18" s="154">
        <v>1.29</v>
      </c>
      <c r="M18" s="155">
        <v>1.25</v>
      </c>
      <c r="N18" s="151">
        <v>6351</v>
      </c>
      <c r="O18" s="151">
        <v>6433</v>
      </c>
      <c r="P18" s="151">
        <v>257</v>
      </c>
      <c r="Q18" s="156">
        <v>1414.884</v>
      </c>
      <c r="R18" s="157">
        <v>735</v>
      </c>
      <c r="S18" s="158">
        <v>22</v>
      </c>
      <c r="T18" s="164">
        <v>48224.9</v>
      </c>
      <c r="U18" s="196">
        <v>0</v>
      </c>
      <c r="V18" s="197">
        <v>13895</v>
      </c>
      <c r="W18" s="164">
        <v>613896</v>
      </c>
      <c r="X18" s="196">
        <v>8710</v>
      </c>
      <c r="Y18" s="196">
        <v>109811</v>
      </c>
      <c r="Z18" s="197">
        <v>99491</v>
      </c>
      <c r="AA18" s="163">
        <v>378040.6</v>
      </c>
      <c r="AB18" s="196">
        <v>1843.5340466013431</v>
      </c>
      <c r="AC18" s="196">
        <v>250.61028709389598</v>
      </c>
      <c r="AD18" s="196">
        <v>389.24475935548202</v>
      </c>
      <c r="AE18" s="196">
        <v>107.08581595227894</v>
      </c>
      <c r="AF18" s="196">
        <v>80.960478664777199</v>
      </c>
      <c r="AG18" s="196">
        <v>73.304844381462232</v>
      </c>
      <c r="AH18" s="163">
        <v>2744.7402320492397</v>
      </c>
      <c r="AI18" s="196">
        <v>1892.8937491043757</v>
      </c>
      <c r="AJ18" s="196">
        <v>216.26545416860978</v>
      </c>
      <c r="AK18" s="196">
        <v>309.33392403751492</v>
      </c>
      <c r="AL18" s="196">
        <v>107.28912446491481</v>
      </c>
      <c r="AM18" s="196">
        <v>114.4440644592984</v>
      </c>
      <c r="AN18" s="196">
        <v>61.096709674076372</v>
      </c>
      <c r="AO18" s="163">
        <v>2701.32302590879</v>
      </c>
      <c r="AP18" s="159">
        <v>1868.2138978528594</v>
      </c>
      <c r="AQ18" s="160">
        <v>233.43787063125288</v>
      </c>
      <c r="AR18" s="161">
        <v>349.28934169649847</v>
      </c>
      <c r="AS18" s="161">
        <v>107.18747020859686</v>
      </c>
      <c r="AT18" s="160">
        <v>97.702271562037794</v>
      </c>
      <c r="AU18" s="162">
        <v>67.200777027769306</v>
      </c>
      <c r="AV18" s="163">
        <v>2723.0316289790148</v>
      </c>
      <c r="AW18" s="164">
        <v>2330.2499687959903</v>
      </c>
      <c r="AX18" s="165">
        <v>0.94499999999999995</v>
      </c>
      <c r="AY18" s="166">
        <v>-0.47313806663358599</v>
      </c>
      <c r="AZ18" s="164">
        <v>1375.2212389380531</v>
      </c>
      <c r="BA18" s="160">
        <v>11971.431008989712</v>
      </c>
      <c r="BB18" s="160">
        <v>7150</v>
      </c>
      <c r="BC18" s="162">
        <v>210</v>
      </c>
      <c r="BD18" s="167"/>
    </row>
    <row r="19" spans="1:56" x14ac:dyDescent="0.2">
      <c r="A19" s="168">
        <v>15</v>
      </c>
      <c r="B19" s="169" t="s">
        <v>38</v>
      </c>
      <c r="C19" s="170">
        <v>306200</v>
      </c>
      <c r="D19" s="104">
        <v>0</v>
      </c>
      <c r="E19" s="104">
        <v>0</v>
      </c>
      <c r="F19" s="104">
        <v>104100</v>
      </c>
      <c r="I19" s="104">
        <v>0</v>
      </c>
      <c r="J19" s="104">
        <v>0</v>
      </c>
      <c r="K19" s="171">
        <v>0</v>
      </c>
      <c r="L19" s="172">
        <v>1.39</v>
      </c>
      <c r="M19" s="173">
        <v>1.39</v>
      </c>
      <c r="N19" s="104">
        <v>3241</v>
      </c>
      <c r="O19" s="104">
        <v>3250</v>
      </c>
      <c r="P19" s="104">
        <v>177</v>
      </c>
      <c r="Q19" s="174">
        <v>574.55299999999988</v>
      </c>
      <c r="R19" s="175">
        <v>341</v>
      </c>
      <c r="S19" s="176">
        <v>8</v>
      </c>
      <c r="T19" s="182">
        <v>0</v>
      </c>
      <c r="U19" s="195">
        <v>32980</v>
      </c>
      <c r="V19" s="198">
        <v>33910</v>
      </c>
      <c r="W19" s="182">
        <v>522439</v>
      </c>
      <c r="X19" s="195">
        <v>3578</v>
      </c>
      <c r="Y19" s="195">
        <v>24795</v>
      </c>
      <c r="Z19" s="198">
        <v>0</v>
      </c>
      <c r="AA19" s="181">
        <v>338246.85</v>
      </c>
      <c r="AB19" s="195">
        <v>1549.0079075440369</v>
      </c>
      <c r="AC19" s="195">
        <v>125.44163324076931</v>
      </c>
      <c r="AD19" s="195">
        <v>175.32617504885323</v>
      </c>
      <c r="AE19" s="195">
        <v>90.418391365288329</v>
      </c>
      <c r="AF19" s="195">
        <v>53.253522575336824</v>
      </c>
      <c r="AG19" s="195">
        <v>79.101203332304848</v>
      </c>
      <c r="AH19" s="181">
        <v>2072.5488331065894</v>
      </c>
      <c r="AI19" s="195">
        <v>1543.4907020162448</v>
      </c>
      <c r="AJ19" s="195">
        <v>115.28468717948718</v>
      </c>
      <c r="AK19" s="195">
        <v>239.37926153846152</v>
      </c>
      <c r="AL19" s="195">
        <v>92.404570652982002</v>
      </c>
      <c r="AM19" s="195">
        <v>126.03794871794871</v>
      </c>
      <c r="AN19" s="195">
        <v>80.884369230769238</v>
      </c>
      <c r="AO19" s="181">
        <v>2197.4815393358936</v>
      </c>
      <c r="AP19" s="177">
        <v>1546.2493047801408</v>
      </c>
      <c r="AQ19" s="178">
        <v>120.36316021012824</v>
      </c>
      <c r="AR19" s="179">
        <v>207.35271829365738</v>
      </c>
      <c r="AS19" s="179">
        <v>91.411481009135173</v>
      </c>
      <c r="AT19" s="178">
        <v>89.645735646642763</v>
      </c>
      <c r="AU19" s="180">
        <v>79.992786281537036</v>
      </c>
      <c r="AV19" s="181">
        <v>2135.015186221241</v>
      </c>
      <c r="AW19" s="182">
        <v>2330.2499687959903</v>
      </c>
      <c r="AX19" s="183">
        <v>0.94499999999999995</v>
      </c>
      <c r="AY19" s="184">
        <v>0</v>
      </c>
      <c r="AZ19" s="182">
        <v>1375.2212389380531</v>
      </c>
      <c r="BA19" s="178">
        <v>11971.431008989712</v>
      </c>
      <c r="BB19" s="178">
        <v>7150</v>
      </c>
      <c r="BC19" s="180">
        <v>210</v>
      </c>
      <c r="BD19" s="185"/>
    </row>
    <row r="20" spans="1:56" x14ac:dyDescent="0.2">
      <c r="A20" s="148">
        <v>16</v>
      </c>
      <c r="B20" s="149" t="s">
        <v>39</v>
      </c>
      <c r="C20" s="150">
        <v>2696900</v>
      </c>
      <c r="D20" s="151">
        <v>0</v>
      </c>
      <c r="E20" s="151">
        <v>81700</v>
      </c>
      <c r="F20" s="151">
        <v>206800</v>
      </c>
      <c r="G20" s="152"/>
      <c r="H20" s="152"/>
      <c r="I20" s="151">
        <v>0</v>
      </c>
      <c r="J20" s="151">
        <v>0</v>
      </c>
      <c r="K20" s="153">
        <v>0</v>
      </c>
      <c r="L20" s="154">
        <v>1.39</v>
      </c>
      <c r="M20" s="155">
        <v>1.39</v>
      </c>
      <c r="N20" s="151">
        <v>5742</v>
      </c>
      <c r="O20" s="151">
        <v>5728</v>
      </c>
      <c r="P20" s="151">
        <v>256</v>
      </c>
      <c r="Q20" s="156">
        <v>1022.736</v>
      </c>
      <c r="R20" s="157">
        <v>594</v>
      </c>
      <c r="S20" s="158">
        <v>28</v>
      </c>
      <c r="T20" s="164">
        <v>176121.75</v>
      </c>
      <c r="U20" s="196">
        <v>87058</v>
      </c>
      <c r="V20" s="197">
        <v>69655</v>
      </c>
      <c r="W20" s="164">
        <v>889506.2</v>
      </c>
      <c r="X20" s="196">
        <v>13948.45</v>
      </c>
      <c r="Y20" s="196">
        <v>232940.7</v>
      </c>
      <c r="Z20" s="197">
        <v>160111.9</v>
      </c>
      <c r="AA20" s="163">
        <v>407885.89999999997</v>
      </c>
      <c r="AB20" s="196">
        <v>1241.6528830429852</v>
      </c>
      <c r="AC20" s="196">
        <v>196.74039823522583</v>
      </c>
      <c r="AD20" s="196">
        <v>179.25783699059562</v>
      </c>
      <c r="AE20" s="196">
        <v>97.301090453116899</v>
      </c>
      <c r="AF20" s="196">
        <v>46.597567630326253</v>
      </c>
      <c r="AG20" s="196">
        <v>63.741269011958664</v>
      </c>
      <c r="AH20" s="163">
        <v>1825.2910453642082</v>
      </c>
      <c r="AI20" s="196">
        <v>1267.6285665358516</v>
      </c>
      <c r="AJ20" s="196">
        <v>178.77923067970204</v>
      </c>
      <c r="AK20" s="196">
        <v>235.4403165735568</v>
      </c>
      <c r="AL20" s="196">
        <v>101.20504192402078</v>
      </c>
      <c r="AM20" s="196">
        <v>63.866084729981381</v>
      </c>
      <c r="AN20" s="196">
        <v>65.143872206703918</v>
      </c>
      <c r="AO20" s="163">
        <v>1912.0631126498167</v>
      </c>
      <c r="AP20" s="159">
        <v>1254.6407247894185</v>
      </c>
      <c r="AQ20" s="160">
        <v>187.75981445746393</v>
      </c>
      <c r="AR20" s="161">
        <v>207.34907678207622</v>
      </c>
      <c r="AS20" s="161">
        <v>99.253066188568837</v>
      </c>
      <c r="AT20" s="160">
        <v>55.231826180153817</v>
      </c>
      <c r="AU20" s="162">
        <v>64.442570609331284</v>
      </c>
      <c r="AV20" s="163">
        <v>1868.6770790070129</v>
      </c>
      <c r="AW20" s="164">
        <v>2330.2499687959903</v>
      </c>
      <c r="AX20" s="165">
        <v>0.94499999999999995</v>
      </c>
      <c r="AY20" s="166">
        <v>0</v>
      </c>
      <c r="AZ20" s="164">
        <v>1375.2212389380531</v>
      </c>
      <c r="BA20" s="160">
        <v>11971.431008989712</v>
      </c>
      <c r="BB20" s="160">
        <v>7150</v>
      </c>
      <c r="BC20" s="162">
        <v>210</v>
      </c>
      <c r="BD20" s="167"/>
    </row>
    <row r="21" spans="1:56" x14ac:dyDescent="0.2">
      <c r="A21" s="168">
        <v>17</v>
      </c>
      <c r="B21" s="169" t="s">
        <v>40</v>
      </c>
      <c r="C21" s="170">
        <v>0</v>
      </c>
      <c r="D21" s="104">
        <v>0</v>
      </c>
      <c r="E21" s="104">
        <v>0</v>
      </c>
      <c r="F21" s="104">
        <v>216700</v>
      </c>
      <c r="I21" s="104">
        <v>0</v>
      </c>
      <c r="J21" s="104">
        <v>0</v>
      </c>
      <c r="K21" s="171">
        <v>0</v>
      </c>
      <c r="L21" s="172">
        <v>0.95</v>
      </c>
      <c r="M21" s="173">
        <v>0.95</v>
      </c>
      <c r="N21" s="104">
        <v>7097</v>
      </c>
      <c r="O21" s="104">
        <v>7228</v>
      </c>
      <c r="P21" s="104">
        <v>309</v>
      </c>
      <c r="Q21" s="174">
        <v>1063.1669999999999</v>
      </c>
      <c r="R21" s="175">
        <v>766</v>
      </c>
      <c r="S21" s="176">
        <v>14</v>
      </c>
      <c r="T21" s="182">
        <v>188619.1</v>
      </c>
      <c r="U21" s="195">
        <v>0</v>
      </c>
      <c r="V21" s="198">
        <v>0</v>
      </c>
      <c r="W21" s="182">
        <v>1156987.3500000001</v>
      </c>
      <c r="X21" s="195">
        <v>69037.899999999994</v>
      </c>
      <c r="Y21" s="195">
        <v>191686.18</v>
      </c>
      <c r="Z21" s="198">
        <v>187326.9</v>
      </c>
      <c r="AA21" s="181">
        <v>586957.80000000005</v>
      </c>
      <c r="AB21" s="195">
        <v>1896.6920588576834</v>
      </c>
      <c r="AC21" s="195">
        <v>249.21221173265707</v>
      </c>
      <c r="AD21" s="195">
        <v>354.08660936545954</v>
      </c>
      <c r="AE21" s="195">
        <v>69.172906628272131</v>
      </c>
      <c r="AF21" s="195">
        <v>56.734770560330659</v>
      </c>
      <c r="AG21" s="195">
        <v>74.397383871119246</v>
      </c>
      <c r="AH21" s="181">
        <v>2700.2959410155217</v>
      </c>
      <c r="AI21" s="195">
        <v>1987.9057723403093</v>
      </c>
      <c r="AJ21" s="195">
        <v>233.66361372440517</v>
      </c>
      <c r="AK21" s="195">
        <v>359.15439494558194</v>
      </c>
      <c r="AL21" s="195">
        <v>103.71409101009201</v>
      </c>
      <c r="AM21" s="195">
        <v>58.047113078767765</v>
      </c>
      <c r="AN21" s="195">
        <v>63.454551743220811</v>
      </c>
      <c r="AO21" s="181">
        <v>2805.9395368423766</v>
      </c>
      <c r="AP21" s="177">
        <v>1942.2989155989962</v>
      </c>
      <c r="AQ21" s="178">
        <v>241.4379127285311</v>
      </c>
      <c r="AR21" s="179">
        <v>356.62050215552074</v>
      </c>
      <c r="AS21" s="179">
        <v>86.443498819182068</v>
      </c>
      <c r="AT21" s="178">
        <v>57.390941819549212</v>
      </c>
      <c r="AU21" s="180">
        <v>68.925967807170025</v>
      </c>
      <c r="AV21" s="181">
        <v>2753.1177389289492</v>
      </c>
      <c r="AW21" s="182">
        <v>2330.2499687959903</v>
      </c>
      <c r="AX21" s="183">
        <v>0.94499999999999995</v>
      </c>
      <c r="AY21" s="184">
        <v>-0.50046316377981537</v>
      </c>
      <c r="AZ21" s="182">
        <v>1375.2212389380531</v>
      </c>
      <c r="BA21" s="178">
        <v>11971.431008989712</v>
      </c>
      <c r="BB21" s="178">
        <v>7150</v>
      </c>
      <c r="BC21" s="180">
        <v>210</v>
      </c>
      <c r="BD21" s="185"/>
    </row>
    <row r="22" spans="1:56" x14ac:dyDescent="0.2">
      <c r="A22" s="148">
        <v>18</v>
      </c>
      <c r="B22" s="149" t="s">
        <v>41</v>
      </c>
      <c r="C22" s="150">
        <v>0</v>
      </c>
      <c r="D22" s="151">
        <v>0</v>
      </c>
      <c r="E22" s="151">
        <v>0</v>
      </c>
      <c r="F22" s="151">
        <v>0</v>
      </c>
      <c r="G22" s="152"/>
      <c r="H22" s="152"/>
      <c r="I22" s="151">
        <v>0</v>
      </c>
      <c r="J22" s="151">
        <v>0</v>
      </c>
      <c r="K22" s="153">
        <v>0</v>
      </c>
      <c r="L22" s="154">
        <v>0.97</v>
      </c>
      <c r="M22" s="155">
        <v>0.92</v>
      </c>
      <c r="N22" s="151">
        <v>3763</v>
      </c>
      <c r="O22" s="151">
        <v>3798</v>
      </c>
      <c r="P22" s="151">
        <v>171</v>
      </c>
      <c r="Q22" s="156">
        <v>834.92039999999997</v>
      </c>
      <c r="R22" s="157">
        <v>407</v>
      </c>
      <c r="S22" s="158">
        <v>4</v>
      </c>
      <c r="T22" s="164">
        <v>0</v>
      </c>
      <c r="U22" s="196">
        <v>0</v>
      </c>
      <c r="V22" s="197">
        <v>3150</v>
      </c>
      <c r="W22" s="164">
        <v>380868.65</v>
      </c>
      <c r="X22" s="196">
        <v>10446.450000000001</v>
      </c>
      <c r="Y22" s="196">
        <v>35475</v>
      </c>
      <c r="Z22" s="197">
        <v>13798.4</v>
      </c>
      <c r="AA22" s="163">
        <v>169123.45</v>
      </c>
      <c r="AB22" s="196">
        <v>2008.165744682681</v>
      </c>
      <c r="AC22" s="196">
        <v>118.85492957746482</v>
      </c>
      <c r="AD22" s="196">
        <v>262.18181415537248</v>
      </c>
      <c r="AE22" s="196">
        <v>97.784633625763774</v>
      </c>
      <c r="AF22" s="196">
        <v>105.80093896713615</v>
      </c>
      <c r="AG22" s="196">
        <v>53.71250775090796</v>
      </c>
      <c r="AH22" s="163">
        <v>2646.5005687593266</v>
      </c>
      <c r="AI22" s="196">
        <v>2004.2262983904459</v>
      </c>
      <c r="AJ22" s="196">
        <v>113.80176408636127</v>
      </c>
      <c r="AK22" s="196">
        <v>210.0441635948745</v>
      </c>
      <c r="AL22" s="196">
        <v>104.74078285670417</v>
      </c>
      <c r="AM22" s="196">
        <v>5.7169036334913113</v>
      </c>
      <c r="AN22" s="196">
        <v>142.24739336492891</v>
      </c>
      <c r="AO22" s="163">
        <v>2580.7773059268061</v>
      </c>
      <c r="AP22" s="159">
        <v>2006.1960215365634</v>
      </c>
      <c r="AQ22" s="160">
        <v>116.32834683191305</v>
      </c>
      <c r="AR22" s="161">
        <v>236.11298887512351</v>
      </c>
      <c r="AS22" s="161">
        <v>101.26270824123398</v>
      </c>
      <c r="AT22" s="160">
        <v>55.75892130031373</v>
      </c>
      <c r="AU22" s="162">
        <v>97.979950557918443</v>
      </c>
      <c r="AV22" s="163">
        <v>2613.6389373430666</v>
      </c>
      <c r="AW22" s="164">
        <v>2330.2499687959903</v>
      </c>
      <c r="AX22" s="165">
        <v>0.94499999999999995</v>
      </c>
      <c r="AY22" s="166">
        <v>-0.3737843804636567</v>
      </c>
      <c r="AZ22" s="164">
        <v>1375.2212389380531</v>
      </c>
      <c r="BA22" s="160">
        <v>11971.431008989712</v>
      </c>
      <c r="BB22" s="160">
        <v>7150</v>
      </c>
      <c r="BC22" s="162">
        <v>210</v>
      </c>
      <c r="BD22" s="167"/>
    </row>
    <row r="23" spans="1:56" x14ac:dyDescent="0.2">
      <c r="A23" s="168">
        <v>19</v>
      </c>
      <c r="B23" s="169" t="s">
        <v>42</v>
      </c>
      <c r="C23" s="170">
        <v>0</v>
      </c>
      <c r="D23" s="104">
        <v>0</v>
      </c>
      <c r="E23" s="104">
        <v>0</v>
      </c>
      <c r="F23" s="104">
        <v>15600</v>
      </c>
      <c r="I23" s="104">
        <v>0</v>
      </c>
      <c r="J23" s="104">
        <v>0</v>
      </c>
      <c r="K23" s="171">
        <v>0</v>
      </c>
      <c r="L23" s="172">
        <v>0.85</v>
      </c>
      <c r="M23" s="173">
        <v>0.85</v>
      </c>
      <c r="N23" s="104">
        <v>4530</v>
      </c>
      <c r="O23" s="104">
        <v>4536</v>
      </c>
      <c r="P23" s="104">
        <v>214</v>
      </c>
      <c r="Q23" s="174">
        <v>789.48500000000001</v>
      </c>
      <c r="R23" s="175">
        <v>508</v>
      </c>
      <c r="S23" s="176">
        <v>6</v>
      </c>
      <c r="T23" s="182">
        <v>0</v>
      </c>
      <c r="U23" s="195">
        <v>0</v>
      </c>
      <c r="V23" s="198">
        <v>7051.05</v>
      </c>
      <c r="W23" s="182">
        <v>199947.77</v>
      </c>
      <c r="X23" s="195">
        <v>2976.9</v>
      </c>
      <c r="Y23" s="195">
        <v>20171.150000000001</v>
      </c>
      <c r="Z23" s="198">
        <v>1845.6</v>
      </c>
      <c r="AA23" s="181">
        <v>338246.85</v>
      </c>
      <c r="AB23" s="195">
        <v>2197.815305907056</v>
      </c>
      <c r="AC23" s="195">
        <v>356.76371596762317</v>
      </c>
      <c r="AD23" s="195">
        <v>575.96758646063279</v>
      </c>
      <c r="AE23" s="195">
        <v>112.50586390976434</v>
      </c>
      <c r="AF23" s="195">
        <v>62.743929359823397</v>
      </c>
      <c r="AG23" s="195">
        <v>41.840765268579837</v>
      </c>
      <c r="AH23" s="181">
        <v>3347.6371668734796</v>
      </c>
      <c r="AI23" s="195">
        <v>2131.4168691308341</v>
      </c>
      <c r="AJ23" s="195">
        <v>354.35667989417999</v>
      </c>
      <c r="AK23" s="195">
        <v>539.43177542621993</v>
      </c>
      <c r="AL23" s="195">
        <v>113.43804733759076</v>
      </c>
      <c r="AM23" s="195">
        <v>55.98721340388007</v>
      </c>
      <c r="AN23" s="195">
        <v>110.95583480305703</v>
      </c>
      <c r="AO23" s="181">
        <v>3305.5864199957623</v>
      </c>
      <c r="AP23" s="177">
        <v>2164.6160875189453</v>
      </c>
      <c r="AQ23" s="178">
        <v>355.56019793090161</v>
      </c>
      <c r="AR23" s="179">
        <v>557.6996809434263</v>
      </c>
      <c r="AS23" s="179">
        <v>112.97195562367756</v>
      </c>
      <c r="AT23" s="178">
        <v>59.365571381851737</v>
      </c>
      <c r="AU23" s="180">
        <v>76.398300035818437</v>
      </c>
      <c r="AV23" s="181">
        <v>3326.6117934346212</v>
      </c>
      <c r="AW23" s="182">
        <v>2330.2499687959903</v>
      </c>
      <c r="AX23" s="183">
        <v>0.94499999999999995</v>
      </c>
      <c r="AY23" s="184">
        <v>-1</v>
      </c>
      <c r="AZ23" s="182">
        <v>1375.2212389380531</v>
      </c>
      <c r="BA23" s="178">
        <v>11971.431008989712</v>
      </c>
      <c r="BB23" s="178">
        <v>7150</v>
      </c>
      <c r="BC23" s="180">
        <v>210</v>
      </c>
      <c r="BD23" s="185"/>
    </row>
    <row r="24" spans="1:56" x14ac:dyDescent="0.2">
      <c r="A24" s="148">
        <v>20</v>
      </c>
      <c r="B24" s="149" t="s">
        <v>43</v>
      </c>
      <c r="C24" s="150">
        <v>0</v>
      </c>
      <c r="D24" s="151">
        <v>0</v>
      </c>
      <c r="E24" s="151">
        <v>1211800</v>
      </c>
      <c r="F24" s="151">
        <v>0</v>
      </c>
      <c r="G24" s="152"/>
      <c r="H24" s="152"/>
      <c r="I24" s="151">
        <v>0</v>
      </c>
      <c r="J24" s="151">
        <v>0</v>
      </c>
      <c r="K24" s="153">
        <v>0</v>
      </c>
      <c r="L24" s="154">
        <v>1</v>
      </c>
      <c r="M24" s="155">
        <v>1</v>
      </c>
      <c r="N24" s="151">
        <v>5957</v>
      </c>
      <c r="O24" s="151">
        <v>6066</v>
      </c>
      <c r="P24" s="151">
        <v>176</v>
      </c>
      <c r="Q24" s="156">
        <v>1160.9780000000003</v>
      </c>
      <c r="R24" s="157">
        <v>816</v>
      </c>
      <c r="S24" s="158">
        <v>12</v>
      </c>
      <c r="T24" s="164">
        <v>34027.85</v>
      </c>
      <c r="U24" s="196">
        <v>1761.65</v>
      </c>
      <c r="V24" s="197">
        <v>9781.0499999999993</v>
      </c>
      <c r="W24" s="164">
        <v>187822.97</v>
      </c>
      <c r="X24" s="196">
        <v>16127.95</v>
      </c>
      <c r="Y24" s="196">
        <v>52851.79</v>
      </c>
      <c r="Z24" s="197">
        <v>26343.200000000001</v>
      </c>
      <c r="AA24" s="163">
        <v>358143.75</v>
      </c>
      <c r="AB24" s="196">
        <v>1817.7506392304563</v>
      </c>
      <c r="AC24" s="196">
        <v>231.34571092831965</v>
      </c>
      <c r="AD24" s="196">
        <v>156.1665491578535</v>
      </c>
      <c r="AE24" s="196">
        <v>98.318595507992612</v>
      </c>
      <c r="AF24" s="196">
        <v>51.599669856191596</v>
      </c>
      <c r="AG24" s="196">
        <v>41.597448380057074</v>
      </c>
      <c r="AH24" s="163">
        <v>2396.7786130608702</v>
      </c>
      <c r="AI24" s="196">
        <v>1823.2376459916186</v>
      </c>
      <c r="AJ24" s="196">
        <v>221.0463457522805</v>
      </c>
      <c r="AK24" s="196">
        <v>179.54416968897681</v>
      </c>
      <c r="AL24" s="196">
        <v>99.883947773910819</v>
      </c>
      <c r="AM24" s="196">
        <v>73.902505769864831</v>
      </c>
      <c r="AN24" s="196">
        <v>67.345312671722169</v>
      </c>
      <c r="AO24" s="163">
        <v>2464.9599276483741</v>
      </c>
      <c r="AP24" s="159">
        <v>1820.4941426110374</v>
      </c>
      <c r="AQ24" s="160">
        <v>226.19602834030007</v>
      </c>
      <c r="AR24" s="161">
        <v>167.85535942341517</v>
      </c>
      <c r="AS24" s="161">
        <v>99.101271640951722</v>
      </c>
      <c r="AT24" s="160">
        <v>62.751087813028214</v>
      </c>
      <c r="AU24" s="162">
        <v>54.471380525889622</v>
      </c>
      <c r="AV24" s="163">
        <v>2430.8692703546226</v>
      </c>
      <c r="AW24" s="164">
        <v>2330.2499687959903</v>
      </c>
      <c r="AX24" s="165">
        <v>0.94499999999999995</v>
      </c>
      <c r="AY24" s="166">
        <v>-0.207787549562157</v>
      </c>
      <c r="AZ24" s="164">
        <v>1375.2212389380531</v>
      </c>
      <c r="BA24" s="160">
        <v>11971.431008989712</v>
      </c>
      <c r="BB24" s="160">
        <v>7150</v>
      </c>
      <c r="BC24" s="162">
        <v>210</v>
      </c>
      <c r="BD24" s="167"/>
    </row>
    <row r="25" spans="1:56" x14ac:dyDescent="0.2">
      <c r="A25" s="168">
        <v>21</v>
      </c>
      <c r="B25" s="169" t="s">
        <v>44</v>
      </c>
      <c r="C25" s="170">
        <v>0</v>
      </c>
      <c r="D25" s="104">
        <v>0</v>
      </c>
      <c r="E25" s="104">
        <v>1237200</v>
      </c>
      <c r="F25" s="104">
        <v>0</v>
      </c>
      <c r="I25" s="104">
        <v>0</v>
      </c>
      <c r="J25" s="104">
        <v>0</v>
      </c>
      <c r="K25" s="171">
        <v>0</v>
      </c>
      <c r="L25" s="172">
        <v>1.0900000000000001</v>
      </c>
      <c r="M25" s="173">
        <v>1.0900000000000001</v>
      </c>
      <c r="N25" s="104">
        <v>8864</v>
      </c>
      <c r="O25" s="104">
        <v>9116</v>
      </c>
      <c r="P25" s="104">
        <v>302</v>
      </c>
      <c r="Q25" s="174">
        <v>1304.6769999999999</v>
      </c>
      <c r="R25" s="175">
        <v>1155</v>
      </c>
      <c r="S25" s="176">
        <v>17</v>
      </c>
      <c r="T25" s="182">
        <v>562</v>
      </c>
      <c r="U25" s="195">
        <v>62392.05</v>
      </c>
      <c r="V25" s="198">
        <v>6459.35</v>
      </c>
      <c r="W25" s="182">
        <v>1237085.1100000001</v>
      </c>
      <c r="X25" s="195">
        <v>7942.8</v>
      </c>
      <c r="Y25" s="195">
        <v>121367.22</v>
      </c>
      <c r="Z25" s="198">
        <v>75126.3</v>
      </c>
      <c r="AA25" s="181">
        <v>497421.85</v>
      </c>
      <c r="AB25" s="195">
        <v>1639.4309904492141</v>
      </c>
      <c r="AC25" s="195">
        <v>149.36432385679907</v>
      </c>
      <c r="AD25" s="195">
        <v>261.3548736462094</v>
      </c>
      <c r="AE25" s="195">
        <v>110.16217194406288</v>
      </c>
      <c r="AF25" s="195">
        <v>70.264624699157636</v>
      </c>
      <c r="AG25" s="195">
        <v>74.546980294825516</v>
      </c>
      <c r="AH25" s="181">
        <v>2305.1239648902683</v>
      </c>
      <c r="AI25" s="195">
        <v>1712.5282483187527</v>
      </c>
      <c r="AJ25" s="195">
        <v>146.35299839110721</v>
      </c>
      <c r="AK25" s="195">
        <v>292.81895202574225</v>
      </c>
      <c r="AL25" s="195">
        <v>110.5642277886284</v>
      </c>
      <c r="AM25" s="195">
        <v>55.486269562673684</v>
      </c>
      <c r="AN25" s="195">
        <v>98.584949539271605</v>
      </c>
      <c r="AO25" s="181">
        <v>2416.3356456261763</v>
      </c>
      <c r="AP25" s="177">
        <v>1675.9796193839834</v>
      </c>
      <c r="AQ25" s="178">
        <v>147.85866112395314</v>
      </c>
      <c r="AR25" s="179">
        <v>277.0869128359758</v>
      </c>
      <c r="AS25" s="179">
        <v>110.36319986634564</v>
      </c>
      <c r="AT25" s="178">
        <v>62.87544713091566</v>
      </c>
      <c r="AU25" s="180">
        <v>86.565964917048561</v>
      </c>
      <c r="AV25" s="181">
        <v>2360.7298052582219</v>
      </c>
      <c r="AW25" s="182">
        <v>2330.2499687959903</v>
      </c>
      <c r="AX25" s="183">
        <v>0.94499999999999995</v>
      </c>
      <c r="AY25" s="184">
        <v>-0.14408480764128301</v>
      </c>
      <c r="AZ25" s="182">
        <v>1375.2212389380531</v>
      </c>
      <c r="BA25" s="178">
        <v>11971.431008989712</v>
      </c>
      <c r="BB25" s="178">
        <v>7150</v>
      </c>
      <c r="BC25" s="180">
        <v>210</v>
      </c>
      <c r="BD25" s="185"/>
    </row>
    <row r="26" spans="1:56" x14ac:dyDescent="0.2">
      <c r="A26" s="148">
        <v>22</v>
      </c>
      <c r="B26" s="149" t="s">
        <v>45</v>
      </c>
      <c r="C26" s="150">
        <v>849300</v>
      </c>
      <c r="D26" s="151">
        <v>0</v>
      </c>
      <c r="E26" s="151">
        <v>347900</v>
      </c>
      <c r="F26" s="151">
        <v>0</v>
      </c>
      <c r="G26" s="152"/>
      <c r="H26" s="152"/>
      <c r="I26" s="151">
        <v>0</v>
      </c>
      <c r="J26" s="151">
        <v>0</v>
      </c>
      <c r="K26" s="153">
        <v>0</v>
      </c>
      <c r="L26" s="154">
        <v>1.19</v>
      </c>
      <c r="M26" s="155">
        <v>1.19</v>
      </c>
      <c r="N26" s="151">
        <v>4390</v>
      </c>
      <c r="O26" s="151">
        <v>4425</v>
      </c>
      <c r="P26" s="151">
        <v>199</v>
      </c>
      <c r="Q26" s="156">
        <v>760.596</v>
      </c>
      <c r="R26" s="157">
        <v>528</v>
      </c>
      <c r="S26" s="158">
        <v>18</v>
      </c>
      <c r="T26" s="164">
        <v>77891</v>
      </c>
      <c r="U26" s="196">
        <v>0</v>
      </c>
      <c r="V26" s="197">
        <v>1581.5</v>
      </c>
      <c r="W26" s="164">
        <v>560808</v>
      </c>
      <c r="X26" s="196">
        <v>9704.5</v>
      </c>
      <c r="Y26" s="196">
        <v>37406.49</v>
      </c>
      <c r="Z26" s="197">
        <v>89597.05</v>
      </c>
      <c r="AA26" s="163">
        <v>278556.25</v>
      </c>
      <c r="AB26" s="196">
        <v>1551.6788043802185</v>
      </c>
      <c r="AC26" s="196">
        <v>98.566909643128326</v>
      </c>
      <c r="AD26" s="196">
        <v>147.20775246772968</v>
      </c>
      <c r="AE26" s="196">
        <v>81.953268182297037</v>
      </c>
      <c r="AF26" s="196">
        <v>65.729665907365231</v>
      </c>
      <c r="AG26" s="196">
        <v>37.896264236902049</v>
      </c>
      <c r="AH26" s="163">
        <v>1983.0326648176408</v>
      </c>
      <c r="AI26" s="196">
        <v>1517.9158064421679</v>
      </c>
      <c r="AJ26" s="196">
        <v>96.293310734463276</v>
      </c>
      <c r="AK26" s="196">
        <v>278.91887005649716</v>
      </c>
      <c r="AL26" s="196">
        <v>83.974686831841396</v>
      </c>
      <c r="AM26" s="196">
        <v>52.37470433145009</v>
      </c>
      <c r="AN26" s="196">
        <v>80.316497175141237</v>
      </c>
      <c r="AO26" s="163">
        <v>2109.7938755715613</v>
      </c>
      <c r="AP26" s="159">
        <v>1534.7973054111931</v>
      </c>
      <c r="AQ26" s="160">
        <v>97.430110188795794</v>
      </c>
      <c r="AR26" s="161">
        <v>213.06331126211342</v>
      </c>
      <c r="AS26" s="161">
        <v>82.963977507069217</v>
      </c>
      <c r="AT26" s="160">
        <v>59.05218511940766</v>
      </c>
      <c r="AU26" s="162">
        <v>59.106380706021639</v>
      </c>
      <c r="AV26" s="163">
        <v>2046.4132701946007</v>
      </c>
      <c r="AW26" s="164">
        <v>2330.2499687959903</v>
      </c>
      <c r="AX26" s="165">
        <v>0.94499999999999995</v>
      </c>
      <c r="AY26" s="166">
        <v>0</v>
      </c>
      <c r="AZ26" s="164">
        <v>1375.2212389380531</v>
      </c>
      <c r="BA26" s="160">
        <v>11971.431008989712</v>
      </c>
      <c r="BB26" s="160">
        <v>7150</v>
      </c>
      <c r="BC26" s="162">
        <v>210</v>
      </c>
      <c r="BD26" s="167"/>
    </row>
    <row r="27" spans="1:56" x14ac:dyDescent="0.2">
      <c r="A27" s="168">
        <v>23</v>
      </c>
      <c r="B27" s="169" t="s">
        <v>46</v>
      </c>
      <c r="C27" s="170">
        <v>1026300</v>
      </c>
      <c r="D27" s="104">
        <v>217000</v>
      </c>
      <c r="E27" s="104">
        <v>771000</v>
      </c>
      <c r="F27" s="104">
        <v>5100</v>
      </c>
      <c r="I27" s="104">
        <v>0</v>
      </c>
      <c r="J27" s="104">
        <v>0</v>
      </c>
      <c r="K27" s="171">
        <v>0</v>
      </c>
      <c r="L27" s="172">
        <v>1.4</v>
      </c>
      <c r="M27" s="173">
        <v>1.4</v>
      </c>
      <c r="N27" s="104">
        <v>2074</v>
      </c>
      <c r="O27" s="104">
        <v>2103</v>
      </c>
      <c r="P27" s="104">
        <v>67</v>
      </c>
      <c r="Q27" s="174">
        <v>686.45500000000004</v>
      </c>
      <c r="R27" s="175">
        <v>303</v>
      </c>
      <c r="S27" s="176">
        <v>2</v>
      </c>
      <c r="T27" s="182">
        <v>82335.100000000006</v>
      </c>
      <c r="U27" s="195">
        <v>0</v>
      </c>
      <c r="V27" s="198">
        <v>0</v>
      </c>
      <c r="W27" s="182">
        <v>278972.7</v>
      </c>
      <c r="X27" s="195">
        <v>0</v>
      </c>
      <c r="Y27" s="195">
        <v>44096.53</v>
      </c>
      <c r="Z27" s="198">
        <v>17532.8</v>
      </c>
      <c r="AA27" s="181">
        <v>99484.349999999991</v>
      </c>
      <c r="AB27" s="195">
        <v>1503.154034882288</v>
      </c>
      <c r="AC27" s="195">
        <v>57.976454516232728</v>
      </c>
      <c r="AD27" s="195">
        <v>62.845885567341696</v>
      </c>
      <c r="AE27" s="195">
        <v>86.001511155192375</v>
      </c>
      <c r="AF27" s="195">
        <v>34.018000642880104</v>
      </c>
      <c r="AG27" s="195">
        <v>21.82974927675988</v>
      </c>
      <c r="AH27" s="181">
        <v>1765.8256360406947</v>
      </c>
      <c r="AI27" s="195">
        <v>1585.708061071449</v>
      </c>
      <c r="AJ27" s="195">
        <v>53.936709462672376</v>
      </c>
      <c r="AK27" s="195">
        <v>81.310968457758747</v>
      </c>
      <c r="AL27" s="195">
        <v>88.824991509270589</v>
      </c>
      <c r="AM27" s="195">
        <v>70.593374544301795</v>
      </c>
      <c r="AN27" s="195">
        <v>59.570597559042639</v>
      </c>
      <c r="AO27" s="181">
        <v>1939.944702604495</v>
      </c>
      <c r="AP27" s="177">
        <v>1544.4310479768685</v>
      </c>
      <c r="AQ27" s="178">
        <v>55.956581989452552</v>
      </c>
      <c r="AR27" s="179">
        <v>72.078427012550222</v>
      </c>
      <c r="AS27" s="179">
        <v>87.413251332231482</v>
      </c>
      <c r="AT27" s="178">
        <v>52.305687593590946</v>
      </c>
      <c r="AU27" s="180">
        <v>40.700173417901262</v>
      </c>
      <c r="AV27" s="181">
        <v>1852.8851693225949</v>
      </c>
      <c r="AW27" s="182">
        <v>2330.2499687959903</v>
      </c>
      <c r="AX27" s="183">
        <v>0.94499999999999995</v>
      </c>
      <c r="AY27" s="184">
        <v>0</v>
      </c>
      <c r="AZ27" s="182">
        <v>1375.2212389380531</v>
      </c>
      <c r="BA27" s="178">
        <v>11971.431008989712</v>
      </c>
      <c r="BB27" s="178">
        <v>7150</v>
      </c>
      <c r="BC27" s="180">
        <v>210</v>
      </c>
      <c r="BD27" s="185"/>
    </row>
    <row r="28" spans="1:56" x14ac:dyDescent="0.2">
      <c r="A28" s="148">
        <v>24</v>
      </c>
      <c r="B28" s="149" t="s">
        <v>47</v>
      </c>
      <c r="C28" s="150">
        <v>425200</v>
      </c>
      <c r="D28" s="151">
        <v>1641400</v>
      </c>
      <c r="E28" s="151">
        <v>1268100</v>
      </c>
      <c r="F28" s="151">
        <v>516400</v>
      </c>
      <c r="G28" s="152"/>
      <c r="H28" s="152"/>
      <c r="I28" s="151">
        <v>0</v>
      </c>
      <c r="J28" s="151">
        <v>0</v>
      </c>
      <c r="K28" s="153">
        <v>0</v>
      </c>
      <c r="L28" s="154">
        <v>1.53</v>
      </c>
      <c r="M28" s="155">
        <v>1.53</v>
      </c>
      <c r="N28" s="151">
        <v>11075</v>
      </c>
      <c r="O28" s="151">
        <v>11168</v>
      </c>
      <c r="P28" s="151">
        <v>546</v>
      </c>
      <c r="Q28" s="156">
        <v>4000.8519999999999</v>
      </c>
      <c r="R28" s="157">
        <v>1373</v>
      </c>
      <c r="S28" s="158">
        <v>30</v>
      </c>
      <c r="T28" s="164">
        <v>429553.10000000003</v>
      </c>
      <c r="U28" s="196">
        <v>50272.05</v>
      </c>
      <c r="V28" s="197">
        <v>103226.75</v>
      </c>
      <c r="W28" s="164">
        <v>2041902.79</v>
      </c>
      <c r="X28" s="196">
        <v>85868.75</v>
      </c>
      <c r="Y28" s="196">
        <v>201289.64</v>
      </c>
      <c r="Z28" s="197">
        <v>256010.7</v>
      </c>
      <c r="AA28" s="163">
        <v>915256.2</v>
      </c>
      <c r="AB28" s="196">
        <v>1600.9405650034403</v>
      </c>
      <c r="AC28" s="196">
        <v>122.64685628291949</v>
      </c>
      <c r="AD28" s="196">
        <v>214.27736945071482</v>
      </c>
      <c r="AE28" s="196">
        <v>92.421619646709772</v>
      </c>
      <c r="AF28" s="196">
        <v>61.331590669676451</v>
      </c>
      <c r="AG28" s="196">
        <v>93.647181339352898</v>
      </c>
      <c r="AH28" s="163">
        <v>2185.2651823928136</v>
      </c>
      <c r="AI28" s="196">
        <v>1592.9779118228173</v>
      </c>
      <c r="AJ28" s="196">
        <v>143.25664995224452</v>
      </c>
      <c r="AK28" s="196">
        <v>235.66857390162369</v>
      </c>
      <c r="AL28" s="196">
        <v>94.448632104356008</v>
      </c>
      <c r="AM28" s="196">
        <v>55.543770893027698</v>
      </c>
      <c r="AN28" s="196">
        <v>46.661529966571152</v>
      </c>
      <c r="AO28" s="163">
        <v>2168.55706864064</v>
      </c>
      <c r="AP28" s="159">
        <v>1596.9592384131288</v>
      </c>
      <c r="AQ28" s="160">
        <v>132.951753117582</v>
      </c>
      <c r="AR28" s="161">
        <v>224.97297167616927</v>
      </c>
      <c r="AS28" s="161">
        <v>93.43512587553289</v>
      </c>
      <c r="AT28" s="160">
        <v>58.437680781352071</v>
      </c>
      <c r="AU28" s="162">
        <v>70.154355652962025</v>
      </c>
      <c r="AV28" s="163">
        <v>2176.9111255167268</v>
      </c>
      <c r="AW28" s="164">
        <v>2330.2499687959903</v>
      </c>
      <c r="AX28" s="165">
        <v>0.94499999999999995</v>
      </c>
      <c r="AY28" s="166">
        <v>0</v>
      </c>
      <c r="AZ28" s="164">
        <v>1375.2212389380531</v>
      </c>
      <c r="BA28" s="160">
        <v>11971.431008989712</v>
      </c>
      <c r="BB28" s="160">
        <v>7150</v>
      </c>
      <c r="BC28" s="162">
        <v>210</v>
      </c>
      <c r="BD28" s="167"/>
    </row>
    <row r="29" spans="1:56" x14ac:dyDescent="0.2">
      <c r="A29" s="168">
        <v>25</v>
      </c>
      <c r="B29" s="169" t="s">
        <v>48</v>
      </c>
      <c r="C29" s="170">
        <v>1215500</v>
      </c>
      <c r="D29" s="104">
        <v>297900</v>
      </c>
      <c r="E29" s="104">
        <v>239700</v>
      </c>
      <c r="F29" s="104">
        <v>0</v>
      </c>
      <c r="I29" s="104">
        <v>0</v>
      </c>
      <c r="J29" s="104">
        <v>0</v>
      </c>
      <c r="K29" s="171">
        <v>0</v>
      </c>
      <c r="L29" s="172">
        <v>1.46</v>
      </c>
      <c r="M29" s="173">
        <v>1.46</v>
      </c>
      <c r="N29" s="104">
        <v>1508</v>
      </c>
      <c r="O29" s="104">
        <v>1507</v>
      </c>
      <c r="P29" s="104">
        <v>46</v>
      </c>
      <c r="Q29" s="174">
        <v>595.40399999999988</v>
      </c>
      <c r="R29" s="175">
        <v>191</v>
      </c>
      <c r="S29" s="176">
        <v>3</v>
      </c>
      <c r="T29" s="182">
        <v>3990</v>
      </c>
      <c r="U29" s="195">
        <v>0</v>
      </c>
      <c r="V29" s="198">
        <v>7180</v>
      </c>
      <c r="W29" s="182">
        <v>37608</v>
      </c>
      <c r="X29" s="195">
        <v>5322</v>
      </c>
      <c r="Y29" s="195">
        <v>12946</v>
      </c>
      <c r="Z29" s="198">
        <v>592</v>
      </c>
      <c r="AA29" s="181">
        <v>69639.05</v>
      </c>
      <c r="AB29" s="195">
        <v>1404.1593119237086</v>
      </c>
      <c r="AC29" s="195">
        <v>88.897413793103453</v>
      </c>
      <c r="AD29" s="195">
        <v>10.932493368700266</v>
      </c>
      <c r="AE29" s="195">
        <v>83.83058704809325</v>
      </c>
      <c r="AF29" s="195">
        <v>21.889478337754202</v>
      </c>
      <c r="AG29" s="195">
        <v>7.1891688770999114</v>
      </c>
      <c r="AH29" s="181">
        <v>1616.8984533484597</v>
      </c>
      <c r="AI29" s="195">
        <v>1460.6614403749777</v>
      </c>
      <c r="AJ29" s="195">
        <v>61.613005972130054</v>
      </c>
      <c r="AK29" s="195">
        <v>18.554080955540808</v>
      </c>
      <c r="AL29" s="195">
        <v>85.803564081598196</v>
      </c>
      <c r="AM29" s="195">
        <v>22.562264985622651</v>
      </c>
      <c r="AN29" s="195">
        <v>39.034549878345501</v>
      </c>
      <c r="AO29" s="181">
        <v>1688.2289062482146</v>
      </c>
      <c r="AP29" s="177">
        <v>1432.4103761493432</v>
      </c>
      <c r="AQ29" s="178">
        <v>75.255209882616754</v>
      </c>
      <c r="AR29" s="179">
        <v>14.743287162120538</v>
      </c>
      <c r="AS29" s="179">
        <v>84.817075564845723</v>
      </c>
      <c r="AT29" s="178">
        <v>22.225871661688426</v>
      </c>
      <c r="AU29" s="180">
        <v>23.111859377722705</v>
      </c>
      <c r="AV29" s="181">
        <v>1652.5636797983375</v>
      </c>
      <c r="AW29" s="182">
        <v>2330.2499687959903</v>
      </c>
      <c r="AX29" s="183">
        <v>0.94499999999999995</v>
      </c>
      <c r="AY29" s="184">
        <v>0</v>
      </c>
      <c r="AZ29" s="182">
        <v>1375.2212389380531</v>
      </c>
      <c r="BA29" s="178">
        <v>11971.431008989712</v>
      </c>
      <c r="BB29" s="178">
        <v>7150</v>
      </c>
      <c r="BC29" s="180">
        <v>210</v>
      </c>
      <c r="BD29" s="185"/>
    </row>
    <row r="30" spans="1:56" x14ac:dyDescent="0.2">
      <c r="A30" s="148">
        <v>26</v>
      </c>
      <c r="B30" s="149" t="s">
        <v>49</v>
      </c>
      <c r="C30" s="150">
        <v>3635300</v>
      </c>
      <c r="D30" s="151">
        <v>1661900</v>
      </c>
      <c r="E30" s="151">
        <v>2189400</v>
      </c>
      <c r="F30" s="151">
        <v>0</v>
      </c>
      <c r="G30" s="152"/>
      <c r="H30" s="152"/>
      <c r="I30" s="151">
        <v>0</v>
      </c>
      <c r="J30" s="151">
        <v>0</v>
      </c>
      <c r="K30" s="153">
        <v>0</v>
      </c>
      <c r="L30" s="154">
        <v>1.4</v>
      </c>
      <c r="M30" s="155">
        <v>1.4</v>
      </c>
      <c r="N30" s="151">
        <v>8439</v>
      </c>
      <c r="O30" s="151">
        <v>8533</v>
      </c>
      <c r="P30" s="151">
        <v>292</v>
      </c>
      <c r="Q30" s="156">
        <v>3353.3999999999996</v>
      </c>
      <c r="R30" s="157">
        <v>1151</v>
      </c>
      <c r="S30" s="158">
        <v>22</v>
      </c>
      <c r="T30" s="164">
        <v>109362</v>
      </c>
      <c r="U30" s="196">
        <v>0</v>
      </c>
      <c r="V30" s="197">
        <v>27382.65</v>
      </c>
      <c r="W30" s="164">
        <v>821765.9</v>
      </c>
      <c r="X30" s="196">
        <v>0</v>
      </c>
      <c r="Y30" s="196">
        <v>122082.66</v>
      </c>
      <c r="Z30" s="197">
        <v>46696.9</v>
      </c>
      <c r="AA30" s="163">
        <v>368092.14999999997</v>
      </c>
      <c r="AB30" s="196">
        <v>1519.003314074818</v>
      </c>
      <c r="AC30" s="196">
        <v>99.487439270055688</v>
      </c>
      <c r="AD30" s="196">
        <v>120.80459770114942</v>
      </c>
      <c r="AE30" s="196">
        <v>89.813231267937994</v>
      </c>
      <c r="AF30" s="196">
        <v>35.647481929138529</v>
      </c>
      <c r="AG30" s="196">
        <v>34.638329975905513</v>
      </c>
      <c r="AH30" s="163">
        <v>1899.3943942190049</v>
      </c>
      <c r="AI30" s="196">
        <v>1494.2911332975793</v>
      </c>
      <c r="AJ30" s="196">
        <v>93.257447556545173</v>
      </c>
      <c r="AK30" s="196">
        <v>134.66001796945193</v>
      </c>
      <c r="AL30" s="196">
        <v>92.814881062236608</v>
      </c>
      <c r="AM30" s="196">
        <v>39.358150709012072</v>
      </c>
      <c r="AN30" s="196">
        <v>42.380596898316334</v>
      </c>
      <c r="AO30" s="163">
        <v>1896.7622274931414</v>
      </c>
      <c r="AP30" s="159">
        <v>1506.6472236861987</v>
      </c>
      <c r="AQ30" s="160">
        <v>96.372443413300431</v>
      </c>
      <c r="AR30" s="161">
        <v>127.73230783530067</v>
      </c>
      <c r="AS30" s="161">
        <v>91.314056165087294</v>
      </c>
      <c r="AT30" s="160">
        <v>37.502816319075301</v>
      </c>
      <c r="AU30" s="162">
        <v>38.509463437110924</v>
      </c>
      <c r="AV30" s="163">
        <v>1898.0783108560734</v>
      </c>
      <c r="AW30" s="164">
        <v>2330.2499687959903</v>
      </c>
      <c r="AX30" s="165">
        <v>0.94499999999999995</v>
      </c>
      <c r="AY30" s="166">
        <v>0</v>
      </c>
      <c r="AZ30" s="164">
        <v>1375.2212389380531</v>
      </c>
      <c r="BA30" s="160">
        <v>11971.431008989712</v>
      </c>
      <c r="BB30" s="160">
        <v>7150</v>
      </c>
      <c r="BC30" s="162">
        <v>210</v>
      </c>
      <c r="BD30" s="167"/>
    </row>
    <row r="31" spans="1:56" x14ac:dyDescent="0.2">
      <c r="A31" s="168">
        <v>27</v>
      </c>
      <c r="B31" s="169" t="s">
        <v>50</v>
      </c>
      <c r="C31" s="170">
        <v>953700</v>
      </c>
      <c r="D31" s="104">
        <v>462300</v>
      </c>
      <c r="E31" s="104">
        <v>0</v>
      </c>
      <c r="F31" s="104">
        <v>14200</v>
      </c>
      <c r="I31" s="104">
        <v>0</v>
      </c>
      <c r="J31" s="104">
        <v>0</v>
      </c>
      <c r="K31" s="171">
        <v>0</v>
      </c>
      <c r="L31" s="172">
        <v>1.45</v>
      </c>
      <c r="M31" s="173">
        <v>1.45</v>
      </c>
      <c r="N31" s="104">
        <v>2112</v>
      </c>
      <c r="O31" s="104">
        <v>2154</v>
      </c>
      <c r="P31" s="104">
        <v>77</v>
      </c>
      <c r="Q31" s="174">
        <v>877.57999999999993</v>
      </c>
      <c r="R31" s="175">
        <v>237</v>
      </c>
      <c r="S31" s="176">
        <v>2</v>
      </c>
      <c r="T31" s="182">
        <v>0</v>
      </c>
      <c r="U31" s="195">
        <v>0</v>
      </c>
      <c r="V31" s="198">
        <v>7200</v>
      </c>
      <c r="W31" s="182">
        <v>345292.22</v>
      </c>
      <c r="X31" s="195">
        <v>1075.05</v>
      </c>
      <c r="Y31" s="195">
        <v>44165.22</v>
      </c>
      <c r="Z31" s="198">
        <v>3837.6</v>
      </c>
      <c r="AA31" s="181">
        <v>169123.45</v>
      </c>
      <c r="AB31" s="195">
        <v>1418.1342340937572</v>
      </c>
      <c r="AC31" s="195">
        <v>147.45296717171718</v>
      </c>
      <c r="AD31" s="195">
        <v>101.12146464646464</v>
      </c>
      <c r="AE31" s="195">
        <v>100.33494945325305</v>
      </c>
      <c r="AF31" s="195">
        <v>60.403377525252523</v>
      </c>
      <c r="AG31" s="195">
        <v>17.395959595959596</v>
      </c>
      <c r="AH31" s="181">
        <v>1844.8429524864041</v>
      </c>
      <c r="AI31" s="195">
        <v>1456.3497665730879</v>
      </c>
      <c r="AJ31" s="195">
        <v>131.81414422779326</v>
      </c>
      <c r="AK31" s="195">
        <v>148.3594088517487</v>
      </c>
      <c r="AL31" s="195">
        <v>98.90284087732374</v>
      </c>
      <c r="AM31" s="195">
        <v>60.844537294955131</v>
      </c>
      <c r="AN31" s="195">
        <v>43.835654596100277</v>
      </c>
      <c r="AO31" s="181">
        <v>1940.1063524210092</v>
      </c>
      <c r="AP31" s="177">
        <v>1437.2420003334225</v>
      </c>
      <c r="AQ31" s="178">
        <v>139.63355569975522</v>
      </c>
      <c r="AR31" s="179">
        <v>124.74043674910666</v>
      </c>
      <c r="AS31" s="179">
        <v>99.618895165288393</v>
      </c>
      <c r="AT31" s="178">
        <v>60.623957410103827</v>
      </c>
      <c r="AU31" s="180">
        <v>30.615807096029936</v>
      </c>
      <c r="AV31" s="181">
        <v>1892.474652453707</v>
      </c>
      <c r="AW31" s="182">
        <v>2330.2499687959903</v>
      </c>
      <c r="AX31" s="183">
        <v>0.94499999999999995</v>
      </c>
      <c r="AY31" s="184">
        <v>0</v>
      </c>
      <c r="AZ31" s="182">
        <v>1375.2212389380531</v>
      </c>
      <c r="BA31" s="178">
        <v>11971.431008989712</v>
      </c>
      <c r="BB31" s="178">
        <v>7150</v>
      </c>
      <c r="BC31" s="180">
        <v>210</v>
      </c>
      <c r="BD31" s="185"/>
    </row>
    <row r="32" spans="1:56" x14ac:dyDescent="0.2">
      <c r="A32" s="148">
        <v>28</v>
      </c>
      <c r="B32" s="149" t="s">
        <v>51</v>
      </c>
      <c r="C32" s="150">
        <v>0</v>
      </c>
      <c r="D32" s="151">
        <v>626600</v>
      </c>
      <c r="E32" s="151">
        <v>0</v>
      </c>
      <c r="F32" s="151">
        <v>0</v>
      </c>
      <c r="G32" s="152"/>
      <c r="H32" s="152"/>
      <c r="I32" s="151">
        <v>0</v>
      </c>
      <c r="J32" s="151">
        <v>0</v>
      </c>
      <c r="K32" s="153">
        <v>0</v>
      </c>
      <c r="L32" s="154">
        <v>1.34</v>
      </c>
      <c r="M32" s="155">
        <v>1.34</v>
      </c>
      <c r="N32" s="151">
        <v>4949</v>
      </c>
      <c r="O32" s="151">
        <v>5038</v>
      </c>
      <c r="P32" s="151">
        <v>154</v>
      </c>
      <c r="Q32" s="156">
        <v>1945.3799999999997</v>
      </c>
      <c r="R32" s="157">
        <v>547</v>
      </c>
      <c r="S32" s="158">
        <v>10</v>
      </c>
      <c r="T32" s="164">
        <v>1710</v>
      </c>
      <c r="U32" s="196">
        <v>220</v>
      </c>
      <c r="V32" s="197">
        <v>6704.3</v>
      </c>
      <c r="W32" s="164">
        <v>230657.15</v>
      </c>
      <c r="X32" s="196">
        <v>711.75</v>
      </c>
      <c r="Y32" s="196">
        <v>75986.83</v>
      </c>
      <c r="Z32" s="197">
        <v>60156.2</v>
      </c>
      <c r="AA32" s="163">
        <v>228814.05</v>
      </c>
      <c r="AB32" s="196">
        <v>1482.3134633153554</v>
      </c>
      <c r="AC32" s="196">
        <v>303.40981343032257</v>
      </c>
      <c r="AD32" s="196">
        <v>516.31155115511547</v>
      </c>
      <c r="AE32" s="196">
        <v>115.33218296663935</v>
      </c>
      <c r="AF32" s="196">
        <v>61.493486899710376</v>
      </c>
      <c r="AG32" s="196">
        <v>76.910971913517869</v>
      </c>
      <c r="AH32" s="163">
        <v>2555.7714696806606</v>
      </c>
      <c r="AI32" s="196">
        <v>1544.0494849337904</v>
      </c>
      <c r="AJ32" s="196">
        <v>299.59235146222051</v>
      </c>
      <c r="AK32" s="196">
        <v>451.10240836310703</v>
      </c>
      <c r="AL32" s="196">
        <v>115.19351563929746</v>
      </c>
      <c r="AM32" s="196">
        <v>76.245222972078864</v>
      </c>
      <c r="AN32" s="196">
        <v>86.546566097657802</v>
      </c>
      <c r="AO32" s="163">
        <v>2572.7295494681521</v>
      </c>
      <c r="AP32" s="159">
        <v>1513.181474124573</v>
      </c>
      <c r="AQ32" s="160">
        <v>301.50108244627154</v>
      </c>
      <c r="AR32" s="161">
        <v>483.70697975911128</v>
      </c>
      <c r="AS32" s="161">
        <v>115.26284930296841</v>
      </c>
      <c r="AT32" s="160">
        <v>68.86935493589462</v>
      </c>
      <c r="AU32" s="162">
        <v>81.728769005587836</v>
      </c>
      <c r="AV32" s="163">
        <v>2564.2505095744064</v>
      </c>
      <c r="AW32" s="164">
        <v>2330.2499687959903</v>
      </c>
      <c r="AX32" s="165">
        <v>0.94499999999999995</v>
      </c>
      <c r="AY32" s="166">
        <v>-0.32892834593729536</v>
      </c>
      <c r="AZ32" s="164">
        <v>1375.2212389380531</v>
      </c>
      <c r="BA32" s="160">
        <v>11971.431008989712</v>
      </c>
      <c r="BB32" s="160">
        <v>7150</v>
      </c>
      <c r="BC32" s="162">
        <v>210</v>
      </c>
      <c r="BD32" s="167"/>
    </row>
    <row r="33" spans="1:56" x14ac:dyDescent="0.2">
      <c r="A33" s="168">
        <v>29</v>
      </c>
      <c r="B33" s="169" t="s">
        <v>52</v>
      </c>
      <c r="C33" s="170">
        <v>773300</v>
      </c>
      <c r="D33" s="104">
        <v>683700</v>
      </c>
      <c r="E33" s="104">
        <v>766700</v>
      </c>
      <c r="F33" s="104">
        <v>8700</v>
      </c>
      <c r="I33" s="104">
        <v>0</v>
      </c>
      <c r="J33" s="104">
        <v>0</v>
      </c>
      <c r="K33" s="171">
        <v>0</v>
      </c>
      <c r="L33" s="172">
        <v>1.44</v>
      </c>
      <c r="M33" s="173">
        <v>1.45</v>
      </c>
      <c r="N33" s="104">
        <v>3180</v>
      </c>
      <c r="O33" s="104">
        <v>3215</v>
      </c>
      <c r="P33" s="104">
        <v>107</v>
      </c>
      <c r="Q33" s="174">
        <v>1305.3130000000001</v>
      </c>
      <c r="R33" s="175">
        <v>426</v>
      </c>
      <c r="S33" s="176">
        <v>14</v>
      </c>
      <c r="T33" s="182">
        <v>0</v>
      </c>
      <c r="U33" s="195">
        <v>1745</v>
      </c>
      <c r="V33" s="198">
        <v>10404.950000000001</v>
      </c>
      <c r="W33" s="182">
        <v>315359.35999999999</v>
      </c>
      <c r="X33" s="195">
        <v>0</v>
      </c>
      <c r="Y33" s="195">
        <v>101620</v>
      </c>
      <c r="Z33" s="198">
        <v>36311.15</v>
      </c>
      <c r="AA33" s="181">
        <v>238762.5</v>
      </c>
      <c r="AB33" s="195">
        <v>1586.3398965995793</v>
      </c>
      <c r="AC33" s="195">
        <v>88.371603773584908</v>
      </c>
      <c r="AD33" s="195">
        <v>97.712400419287192</v>
      </c>
      <c r="AE33" s="195">
        <v>83.644899396744393</v>
      </c>
      <c r="AF33" s="195">
        <v>59.26272536687631</v>
      </c>
      <c r="AG33" s="195">
        <v>59.764685534591187</v>
      </c>
      <c r="AH33" s="181">
        <v>1975.0962110906632</v>
      </c>
      <c r="AI33" s="195">
        <v>1687.6510808626135</v>
      </c>
      <c r="AJ33" s="195">
        <v>83.666065318818028</v>
      </c>
      <c r="AK33" s="195">
        <v>86.598475894245738</v>
      </c>
      <c r="AL33" s="195">
        <v>88.204053150519215</v>
      </c>
      <c r="AM33" s="195">
        <v>68.545857957490938</v>
      </c>
      <c r="AN33" s="195">
        <v>80.015261793675478</v>
      </c>
      <c r="AO33" s="181">
        <v>2094.6807949773629</v>
      </c>
      <c r="AP33" s="177">
        <v>1636.9954887310964</v>
      </c>
      <c r="AQ33" s="178">
        <v>86.018834546201475</v>
      </c>
      <c r="AR33" s="179">
        <v>92.155438156766465</v>
      </c>
      <c r="AS33" s="179">
        <v>85.924476273631797</v>
      </c>
      <c r="AT33" s="178">
        <v>63.904291662183624</v>
      </c>
      <c r="AU33" s="180">
        <v>69.889973664133336</v>
      </c>
      <c r="AV33" s="181">
        <v>2034.8885030340132</v>
      </c>
      <c r="AW33" s="182">
        <v>2330.2499687959903</v>
      </c>
      <c r="AX33" s="183">
        <v>0.94499999999999995</v>
      </c>
      <c r="AY33" s="184">
        <v>0</v>
      </c>
      <c r="AZ33" s="182">
        <v>1375.2212389380531</v>
      </c>
      <c r="BA33" s="178">
        <v>11971.431008989712</v>
      </c>
      <c r="BB33" s="178">
        <v>7150</v>
      </c>
      <c r="BC33" s="180">
        <v>210</v>
      </c>
      <c r="BD33" s="185"/>
    </row>
    <row r="34" spans="1:56" x14ac:dyDescent="0.2">
      <c r="A34" s="148">
        <v>30</v>
      </c>
      <c r="B34" s="149" t="s">
        <v>53</v>
      </c>
      <c r="C34" s="150">
        <v>2343300</v>
      </c>
      <c r="D34" s="151">
        <v>1322600</v>
      </c>
      <c r="E34" s="151">
        <v>800300</v>
      </c>
      <c r="F34" s="151">
        <v>134100</v>
      </c>
      <c r="G34" s="152"/>
      <c r="H34" s="152"/>
      <c r="I34" s="151">
        <v>0</v>
      </c>
      <c r="J34" s="151">
        <v>0</v>
      </c>
      <c r="K34" s="153">
        <v>0</v>
      </c>
      <c r="L34" s="154">
        <v>1.3</v>
      </c>
      <c r="M34" s="155">
        <v>1.3</v>
      </c>
      <c r="N34" s="151">
        <v>6943</v>
      </c>
      <c r="O34" s="151">
        <v>6982</v>
      </c>
      <c r="P34" s="151">
        <v>255</v>
      </c>
      <c r="Q34" s="156">
        <v>2716.8006</v>
      </c>
      <c r="R34" s="157">
        <v>859</v>
      </c>
      <c r="S34" s="158">
        <v>17</v>
      </c>
      <c r="T34" s="164">
        <v>342252.69999999995</v>
      </c>
      <c r="U34" s="196">
        <v>124072</v>
      </c>
      <c r="V34" s="197">
        <v>20166.900000000001</v>
      </c>
      <c r="W34" s="164">
        <v>525390.75</v>
      </c>
      <c r="X34" s="196">
        <v>1289</v>
      </c>
      <c r="Y34" s="196">
        <v>127151.35</v>
      </c>
      <c r="Z34" s="197">
        <v>33932.550000000003</v>
      </c>
      <c r="AA34" s="163">
        <v>397937.5</v>
      </c>
      <c r="AB34" s="196">
        <v>1625.9735094129001</v>
      </c>
      <c r="AC34" s="196">
        <v>87.483508569782501</v>
      </c>
      <c r="AD34" s="196">
        <v>93.268275001200266</v>
      </c>
      <c r="AE34" s="196">
        <v>82.496722384286372</v>
      </c>
      <c r="AF34" s="196">
        <v>33.929115175956603</v>
      </c>
      <c r="AG34" s="196">
        <v>37.81776369484853</v>
      </c>
      <c r="AH34" s="163">
        <v>1960.9688942389744</v>
      </c>
      <c r="AI34" s="196">
        <v>1548.2535203793238</v>
      </c>
      <c r="AJ34" s="196">
        <v>82.759648620261629</v>
      </c>
      <c r="AK34" s="196">
        <v>105.70748114198415</v>
      </c>
      <c r="AL34" s="196">
        <v>84.572066653907186</v>
      </c>
      <c r="AM34" s="196">
        <v>60.412782392819629</v>
      </c>
      <c r="AN34" s="196">
        <v>55.495402463477511</v>
      </c>
      <c r="AO34" s="163">
        <v>1937.2009016517741</v>
      </c>
      <c r="AP34" s="159">
        <v>1587.1135148961121</v>
      </c>
      <c r="AQ34" s="160">
        <v>85.121578595022072</v>
      </c>
      <c r="AR34" s="161">
        <v>99.487878071592206</v>
      </c>
      <c r="AS34" s="161">
        <v>83.534394519096779</v>
      </c>
      <c r="AT34" s="160">
        <v>47.170948784388116</v>
      </c>
      <c r="AU34" s="162">
        <v>46.65658307916302</v>
      </c>
      <c r="AV34" s="163">
        <v>1949.0848979453745</v>
      </c>
      <c r="AW34" s="164">
        <v>2330.2499687959903</v>
      </c>
      <c r="AX34" s="165">
        <v>0.94499999999999995</v>
      </c>
      <c r="AY34" s="166">
        <v>0</v>
      </c>
      <c r="AZ34" s="164">
        <v>1375.2212389380531</v>
      </c>
      <c r="BA34" s="160">
        <v>11971.431008989712</v>
      </c>
      <c r="BB34" s="160">
        <v>7150</v>
      </c>
      <c r="BC34" s="162">
        <v>210</v>
      </c>
      <c r="BD34" s="167"/>
    </row>
    <row r="35" spans="1:56" x14ac:dyDescent="0.2">
      <c r="A35" s="168">
        <v>31</v>
      </c>
      <c r="B35" s="169" t="s">
        <v>54</v>
      </c>
      <c r="C35" s="170">
        <v>0</v>
      </c>
      <c r="D35" s="104">
        <v>0</v>
      </c>
      <c r="E35" s="104">
        <v>0</v>
      </c>
      <c r="F35" s="104">
        <v>252300</v>
      </c>
      <c r="I35" s="104">
        <v>0</v>
      </c>
      <c r="J35" s="104">
        <v>0</v>
      </c>
      <c r="K35" s="171">
        <v>0</v>
      </c>
      <c r="L35" s="172">
        <v>1.18</v>
      </c>
      <c r="M35" s="173">
        <v>1.18</v>
      </c>
      <c r="N35" s="104">
        <v>11536</v>
      </c>
      <c r="O35" s="104">
        <v>11938</v>
      </c>
      <c r="P35" s="104">
        <v>498</v>
      </c>
      <c r="Q35" s="174">
        <v>1666.3280000000002</v>
      </c>
      <c r="R35" s="175">
        <v>1178</v>
      </c>
      <c r="S35" s="176">
        <v>33</v>
      </c>
      <c r="T35" s="182">
        <v>266678.34999999998</v>
      </c>
      <c r="U35" s="195">
        <v>0</v>
      </c>
      <c r="V35" s="198">
        <v>55999.85</v>
      </c>
      <c r="W35" s="182">
        <v>1928604.97</v>
      </c>
      <c r="X35" s="195">
        <v>61980.65</v>
      </c>
      <c r="Y35" s="195">
        <v>92072.36</v>
      </c>
      <c r="Z35" s="198">
        <v>573451.42000000004</v>
      </c>
      <c r="AA35" s="181">
        <v>815771.85</v>
      </c>
      <c r="AB35" s="195">
        <v>1757.0795872288288</v>
      </c>
      <c r="AC35" s="195">
        <v>153.00637135922329</v>
      </c>
      <c r="AD35" s="195">
        <v>282.65353675450763</v>
      </c>
      <c r="AE35" s="195">
        <v>100.26594223361917</v>
      </c>
      <c r="AF35" s="195">
        <v>43.824815071659728</v>
      </c>
      <c r="AG35" s="195">
        <v>42.123234512251507</v>
      </c>
      <c r="AH35" s="181">
        <v>2378.9534871600904</v>
      </c>
      <c r="AI35" s="195">
        <v>1817.5977203393659</v>
      </c>
      <c r="AJ35" s="195">
        <v>151.04714915954654</v>
      </c>
      <c r="AK35" s="195">
        <v>342.24373987825987</v>
      </c>
      <c r="AL35" s="195">
        <v>100.2514867191347</v>
      </c>
      <c r="AM35" s="195">
        <v>49.581610543362935</v>
      </c>
      <c r="AN35" s="195">
        <v>34.935701122466071</v>
      </c>
      <c r="AO35" s="181">
        <v>2495.6574077621358</v>
      </c>
      <c r="AP35" s="177">
        <v>1787.3386537840975</v>
      </c>
      <c r="AQ35" s="178">
        <v>152.0267602593849</v>
      </c>
      <c r="AR35" s="179">
        <v>312.44863831638372</v>
      </c>
      <c r="AS35" s="179">
        <v>100.25871447637694</v>
      </c>
      <c r="AT35" s="178">
        <v>46.703212807511335</v>
      </c>
      <c r="AU35" s="180">
        <v>38.529467817358793</v>
      </c>
      <c r="AV35" s="181">
        <v>2437.3054474611126</v>
      </c>
      <c r="AW35" s="182">
        <v>2330.2499687959903</v>
      </c>
      <c r="AX35" s="183">
        <v>0.94499999999999995</v>
      </c>
      <c r="AY35" s="184">
        <v>-0.21363307645073903</v>
      </c>
      <c r="AZ35" s="182">
        <v>1375.2212389380531</v>
      </c>
      <c r="BA35" s="178">
        <v>11971.431008989712</v>
      </c>
      <c r="BB35" s="178">
        <v>7150</v>
      </c>
      <c r="BC35" s="180">
        <v>210</v>
      </c>
      <c r="BD35" s="185"/>
    </row>
    <row r="36" spans="1:56" x14ac:dyDescent="0.2">
      <c r="A36" s="148">
        <v>32</v>
      </c>
      <c r="B36" s="149" t="s">
        <v>55</v>
      </c>
      <c r="C36" s="150">
        <v>1111200</v>
      </c>
      <c r="D36" s="151">
        <v>364900</v>
      </c>
      <c r="E36" s="151">
        <v>49600</v>
      </c>
      <c r="F36" s="151">
        <v>28300</v>
      </c>
      <c r="G36" s="152"/>
      <c r="H36" s="152"/>
      <c r="I36" s="151">
        <v>0</v>
      </c>
      <c r="J36" s="151">
        <v>0</v>
      </c>
      <c r="K36" s="153">
        <v>0</v>
      </c>
      <c r="L36" s="154">
        <v>1.45</v>
      </c>
      <c r="M36" s="155">
        <v>1.45</v>
      </c>
      <c r="N36" s="151">
        <v>4676</v>
      </c>
      <c r="O36" s="151">
        <v>4679</v>
      </c>
      <c r="P36" s="151">
        <v>140</v>
      </c>
      <c r="Q36" s="156">
        <v>1441.4570000000001</v>
      </c>
      <c r="R36" s="157">
        <v>535</v>
      </c>
      <c r="S36" s="158">
        <v>12</v>
      </c>
      <c r="T36" s="164">
        <v>214033.74999999997</v>
      </c>
      <c r="U36" s="196">
        <v>0</v>
      </c>
      <c r="V36" s="197">
        <v>0</v>
      </c>
      <c r="W36" s="164">
        <v>568624.18000000005</v>
      </c>
      <c r="X36" s="196">
        <v>9679.75</v>
      </c>
      <c r="Y36" s="196">
        <v>103439.95</v>
      </c>
      <c r="Z36" s="197">
        <v>80205</v>
      </c>
      <c r="AA36" s="163">
        <v>258659.35</v>
      </c>
      <c r="AB36" s="196">
        <v>1590.0029957928446</v>
      </c>
      <c r="AC36" s="196">
        <v>128.97422298260622</v>
      </c>
      <c r="AD36" s="196">
        <v>114.11894069004846</v>
      </c>
      <c r="AE36" s="196">
        <v>90.878809073411162</v>
      </c>
      <c r="AF36" s="196">
        <v>55.11771457085829</v>
      </c>
      <c r="AG36" s="196">
        <v>24.346592529227262</v>
      </c>
      <c r="AH36" s="163">
        <v>2003.4392756389962</v>
      </c>
      <c r="AI36" s="196">
        <v>1618.4969974687222</v>
      </c>
      <c r="AJ36" s="196">
        <v>125.12063831302986</v>
      </c>
      <c r="AK36" s="196">
        <v>141.43509296858301</v>
      </c>
      <c r="AL36" s="196">
        <v>94.349861206459749</v>
      </c>
      <c r="AM36" s="196">
        <v>61.011833012752007</v>
      </c>
      <c r="AN36" s="196">
        <v>34.459685117902687</v>
      </c>
      <c r="AO36" s="163">
        <v>2074.8741080874493</v>
      </c>
      <c r="AP36" s="159">
        <v>1604.2499966307832</v>
      </c>
      <c r="AQ36" s="160">
        <v>127.04743064781803</v>
      </c>
      <c r="AR36" s="161">
        <v>127.77701682931573</v>
      </c>
      <c r="AS36" s="161">
        <v>92.614335139935463</v>
      </c>
      <c r="AT36" s="160">
        <v>58.064773791805152</v>
      </c>
      <c r="AU36" s="162">
        <v>29.403138823564973</v>
      </c>
      <c r="AV36" s="163">
        <v>2039.1566918632229</v>
      </c>
      <c r="AW36" s="164">
        <v>2330.2499687959903</v>
      </c>
      <c r="AX36" s="165">
        <v>0.94499999999999995</v>
      </c>
      <c r="AY36" s="166">
        <v>0</v>
      </c>
      <c r="AZ36" s="164">
        <v>1375.2212389380531</v>
      </c>
      <c r="BA36" s="160">
        <v>11971.431008989712</v>
      </c>
      <c r="BB36" s="160">
        <v>7150</v>
      </c>
      <c r="BC36" s="162">
        <v>210</v>
      </c>
      <c r="BD36" s="167"/>
    </row>
    <row r="37" spans="1:56" x14ac:dyDescent="0.2">
      <c r="A37" s="168">
        <v>33</v>
      </c>
      <c r="B37" s="169" t="s">
        <v>56</v>
      </c>
      <c r="C37" s="170">
        <v>2568700</v>
      </c>
      <c r="D37" s="104">
        <v>339000</v>
      </c>
      <c r="E37" s="104">
        <v>643600</v>
      </c>
      <c r="F37" s="104">
        <v>0</v>
      </c>
      <c r="I37" s="104">
        <v>189600</v>
      </c>
      <c r="J37" s="104">
        <v>0</v>
      </c>
      <c r="K37" s="171">
        <v>0</v>
      </c>
      <c r="L37" s="172">
        <v>1.48</v>
      </c>
      <c r="M37" s="173">
        <v>1.48</v>
      </c>
      <c r="N37" s="104">
        <v>5163</v>
      </c>
      <c r="O37" s="104">
        <v>5220</v>
      </c>
      <c r="P37" s="104">
        <v>199</v>
      </c>
      <c r="Q37" s="174">
        <v>1558.6419999999994</v>
      </c>
      <c r="R37" s="175">
        <v>646</v>
      </c>
      <c r="S37" s="176">
        <v>14</v>
      </c>
      <c r="T37" s="182">
        <v>0</v>
      </c>
      <c r="U37" s="195">
        <v>0</v>
      </c>
      <c r="V37" s="198">
        <v>0</v>
      </c>
      <c r="W37" s="182">
        <v>493785.75</v>
      </c>
      <c r="X37" s="195">
        <v>39928.65</v>
      </c>
      <c r="Y37" s="195">
        <v>67379.649999999994</v>
      </c>
      <c r="Z37" s="198">
        <v>103854.05</v>
      </c>
      <c r="AA37" s="181">
        <v>348195.3</v>
      </c>
      <c r="AB37" s="195">
        <v>1538.498624084654</v>
      </c>
      <c r="AC37" s="195">
        <v>100.66155981664406</v>
      </c>
      <c r="AD37" s="195">
        <v>68.964310155594291</v>
      </c>
      <c r="AE37" s="195">
        <v>87.275500127077621</v>
      </c>
      <c r="AF37" s="195">
        <v>39.10891600490671</v>
      </c>
      <c r="AG37" s="195">
        <v>38.70567499515785</v>
      </c>
      <c r="AH37" s="181">
        <v>1873.2145851840344</v>
      </c>
      <c r="AI37" s="195">
        <v>1530.632949711026</v>
      </c>
      <c r="AJ37" s="195">
        <v>83.689406130268196</v>
      </c>
      <c r="AK37" s="195">
        <v>53.675236270753516</v>
      </c>
      <c r="AL37" s="195">
        <v>87.179579407899212</v>
      </c>
      <c r="AM37" s="195">
        <v>36.130025542784161</v>
      </c>
      <c r="AN37" s="195">
        <v>68.861309067688367</v>
      </c>
      <c r="AO37" s="181">
        <v>1860.1685061304192</v>
      </c>
      <c r="AP37" s="177">
        <v>1534.5657868978401</v>
      </c>
      <c r="AQ37" s="178">
        <v>92.175482973456127</v>
      </c>
      <c r="AR37" s="179">
        <v>61.319773213173903</v>
      </c>
      <c r="AS37" s="179">
        <v>87.227539767488423</v>
      </c>
      <c r="AT37" s="178">
        <v>37.619470773845435</v>
      </c>
      <c r="AU37" s="180">
        <v>53.783492031423108</v>
      </c>
      <c r="AV37" s="181">
        <v>1866.6915456572272</v>
      </c>
      <c r="AW37" s="182">
        <v>2330.2499687959903</v>
      </c>
      <c r="AX37" s="183">
        <v>0.94499999999999995</v>
      </c>
      <c r="AY37" s="184">
        <v>0</v>
      </c>
      <c r="AZ37" s="182">
        <v>1375.2212389380531</v>
      </c>
      <c r="BA37" s="178">
        <v>11971.431008989712</v>
      </c>
      <c r="BB37" s="178">
        <v>7150</v>
      </c>
      <c r="BC37" s="180">
        <v>210</v>
      </c>
      <c r="BD37" s="185"/>
    </row>
    <row r="38" spans="1:56" x14ac:dyDescent="0.2">
      <c r="A38" s="148">
        <v>34</v>
      </c>
      <c r="B38" s="149" t="s">
        <v>57</v>
      </c>
      <c r="C38" s="150">
        <v>0</v>
      </c>
      <c r="D38" s="151">
        <v>0</v>
      </c>
      <c r="E38" s="151">
        <v>0</v>
      </c>
      <c r="F38" s="151">
        <v>0</v>
      </c>
      <c r="G38" s="152"/>
      <c r="H38" s="152"/>
      <c r="I38" s="151">
        <v>0</v>
      </c>
      <c r="J38" s="151">
        <v>0</v>
      </c>
      <c r="K38" s="153">
        <v>0</v>
      </c>
      <c r="L38" s="154">
        <v>1.42</v>
      </c>
      <c r="M38" s="155">
        <v>1.42</v>
      </c>
      <c r="N38" s="151">
        <v>5779</v>
      </c>
      <c r="O38" s="151">
        <v>5964</v>
      </c>
      <c r="P38" s="151">
        <v>258</v>
      </c>
      <c r="Q38" s="156">
        <v>943.07599999999991</v>
      </c>
      <c r="R38" s="157">
        <v>608</v>
      </c>
      <c r="S38" s="158">
        <v>13</v>
      </c>
      <c r="T38" s="164">
        <v>0</v>
      </c>
      <c r="U38" s="196">
        <v>0</v>
      </c>
      <c r="V38" s="197">
        <v>21904</v>
      </c>
      <c r="W38" s="164">
        <v>419053</v>
      </c>
      <c r="X38" s="196">
        <v>16584</v>
      </c>
      <c r="Y38" s="196">
        <v>61991</v>
      </c>
      <c r="Z38" s="197">
        <v>53505</v>
      </c>
      <c r="AA38" s="163">
        <v>298453.10000000003</v>
      </c>
      <c r="AB38" s="196">
        <v>1745.324014950027</v>
      </c>
      <c r="AC38" s="196">
        <v>68.494699198246536</v>
      </c>
      <c r="AD38" s="196">
        <v>182.63270462017653</v>
      </c>
      <c r="AE38" s="196">
        <v>87.167983822162398</v>
      </c>
      <c r="AF38" s="196">
        <v>112.46371921324337</v>
      </c>
      <c r="AG38" s="196">
        <v>87.253175289842545</v>
      </c>
      <c r="AH38" s="163">
        <v>2283.3362970936982</v>
      </c>
      <c r="AI38" s="196">
        <v>1785.3524139013371</v>
      </c>
      <c r="AJ38" s="196">
        <v>68.102369774200767</v>
      </c>
      <c r="AK38" s="196">
        <v>163.05881958417169</v>
      </c>
      <c r="AL38" s="196">
        <v>90.741892723839428</v>
      </c>
      <c r="AM38" s="196">
        <v>54.284820031298906</v>
      </c>
      <c r="AN38" s="196">
        <v>14.000799239883749</v>
      </c>
      <c r="AO38" s="163">
        <v>2175.5411152547313</v>
      </c>
      <c r="AP38" s="159">
        <v>1765.3382144256821</v>
      </c>
      <c r="AQ38" s="160">
        <v>68.298534486223645</v>
      </c>
      <c r="AR38" s="161">
        <v>172.84576210217409</v>
      </c>
      <c r="AS38" s="161">
        <v>88.95493827300092</v>
      </c>
      <c r="AT38" s="160">
        <v>83.374269622271129</v>
      </c>
      <c r="AU38" s="162">
        <v>50.626987264863146</v>
      </c>
      <c r="AV38" s="163">
        <v>2229.438706174215</v>
      </c>
      <c r="AW38" s="164">
        <v>2330.2499687959903</v>
      </c>
      <c r="AX38" s="165">
        <v>0.94499999999999995</v>
      </c>
      <c r="AY38" s="166">
        <v>-2.4842338512650886E-2</v>
      </c>
      <c r="AZ38" s="164">
        <v>1375.2212389380531</v>
      </c>
      <c r="BA38" s="160">
        <v>11971.431008989712</v>
      </c>
      <c r="BB38" s="160">
        <v>7150</v>
      </c>
      <c r="BC38" s="162">
        <v>210</v>
      </c>
      <c r="BD38" s="167"/>
    </row>
    <row r="39" spans="1:56" x14ac:dyDescent="0.2">
      <c r="A39" s="168">
        <v>35</v>
      </c>
      <c r="B39" s="169" t="s">
        <v>58</v>
      </c>
      <c r="C39" s="170">
        <v>1968300</v>
      </c>
      <c r="D39" s="104">
        <v>372200</v>
      </c>
      <c r="E39" s="104">
        <v>1044500</v>
      </c>
      <c r="F39" s="104">
        <v>25300</v>
      </c>
      <c r="I39" s="104">
        <v>0</v>
      </c>
      <c r="J39" s="104">
        <v>0</v>
      </c>
      <c r="K39" s="171">
        <v>0</v>
      </c>
      <c r="L39" s="172">
        <v>1.42</v>
      </c>
      <c r="M39" s="173">
        <v>1.42</v>
      </c>
      <c r="N39" s="104">
        <v>4488</v>
      </c>
      <c r="O39" s="104">
        <v>4538</v>
      </c>
      <c r="P39" s="104">
        <v>130</v>
      </c>
      <c r="Q39" s="174">
        <v>1411.3709999999999</v>
      </c>
      <c r="R39" s="175">
        <v>601</v>
      </c>
      <c r="S39" s="176">
        <v>15</v>
      </c>
      <c r="T39" s="182">
        <v>57042.2</v>
      </c>
      <c r="U39" s="195">
        <v>39431.449999999997</v>
      </c>
      <c r="V39" s="198">
        <v>107202.56</v>
      </c>
      <c r="W39" s="182">
        <v>231693.18</v>
      </c>
      <c r="X39" s="195">
        <v>0</v>
      </c>
      <c r="Y39" s="195">
        <v>49906</v>
      </c>
      <c r="Z39" s="198">
        <v>57264.45</v>
      </c>
      <c r="AA39" s="181">
        <v>119381.25</v>
      </c>
      <c r="AB39" s="195">
        <v>1590.3498445498094</v>
      </c>
      <c r="AC39" s="195">
        <v>51.995595662507419</v>
      </c>
      <c r="AD39" s="195">
        <v>101.1248514557338</v>
      </c>
      <c r="AE39" s="195">
        <v>99.467206775262767</v>
      </c>
      <c r="AF39" s="195">
        <v>45.486326500297089</v>
      </c>
      <c r="AG39" s="195">
        <v>27.798700237670825</v>
      </c>
      <c r="AH39" s="181">
        <v>1916.2225251812813</v>
      </c>
      <c r="AI39" s="195">
        <v>1553.112670143752</v>
      </c>
      <c r="AJ39" s="195">
        <v>47.105766123108566</v>
      </c>
      <c r="AK39" s="195">
        <v>81.97335830762448</v>
      </c>
      <c r="AL39" s="195">
        <v>100.89070866572303</v>
      </c>
      <c r="AM39" s="195">
        <v>48.817452622300571</v>
      </c>
      <c r="AN39" s="195">
        <v>44.205729396209783</v>
      </c>
      <c r="AO39" s="181">
        <v>1876.1056852587185</v>
      </c>
      <c r="AP39" s="177">
        <v>1571.7312573467807</v>
      </c>
      <c r="AQ39" s="178">
        <v>49.550680892807989</v>
      </c>
      <c r="AR39" s="179">
        <v>91.549104881679142</v>
      </c>
      <c r="AS39" s="179">
        <v>100.17895772049289</v>
      </c>
      <c r="AT39" s="178">
        <v>47.15188956129883</v>
      </c>
      <c r="AU39" s="180">
        <v>36.002214816940302</v>
      </c>
      <c r="AV39" s="181">
        <v>1896.1641052199998</v>
      </c>
      <c r="AW39" s="182">
        <v>2330.2499687959903</v>
      </c>
      <c r="AX39" s="183">
        <v>0.94499999999999995</v>
      </c>
      <c r="AY39" s="184">
        <v>0</v>
      </c>
      <c r="AZ39" s="182">
        <v>1375.2212389380531</v>
      </c>
      <c r="BA39" s="178">
        <v>11971.431008989712</v>
      </c>
      <c r="BB39" s="178">
        <v>7150</v>
      </c>
      <c r="BC39" s="180">
        <v>210</v>
      </c>
      <c r="BD39" s="185"/>
    </row>
    <row r="40" spans="1:56" x14ac:dyDescent="0.2">
      <c r="A40" s="148">
        <v>36</v>
      </c>
      <c r="B40" s="149" t="s">
        <v>59</v>
      </c>
      <c r="C40" s="150">
        <v>0</v>
      </c>
      <c r="D40" s="151">
        <v>0</v>
      </c>
      <c r="E40" s="151">
        <v>0</v>
      </c>
      <c r="F40" s="151">
        <v>102200</v>
      </c>
      <c r="G40" s="152"/>
      <c r="H40" s="152"/>
      <c r="I40" s="151">
        <v>0</v>
      </c>
      <c r="J40" s="151">
        <v>0</v>
      </c>
      <c r="K40" s="153">
        <v>0</v>
      </c>
      <c r="L40" s="154">
        <v>1</v>
      </c>
      <c r="M40" s="155">
        <v>1</v>
      </c>
      <c r="N40" s="151">
        <v>5590</v>
      </c>
      <c r="O40" s="151">
        <v>5681</v>
      </c>
      <c r="P40" s="151">
        <v>296</v>
      </c>
      <c r="Q40" s="156">
        <v>1219.3626000000002</v>
      </c>
      <c r="R40" s="157">
        <v>542</v>
      </c>
      <c r="S40" s="158">
        <v>11</v>
      </c>
      <c r="T40" s="164">
        <v>21076.86</v>
      </c>
      <c r="U40" s="196">
        <v>6626</v>
      </c>
      <c r="V40" s="197">
        <v>0</v>
      </c>
      <c r="W40" s="164">
        <v>246613.6</v>
      </c>
      <c r="X40" s="196">
        <v>6490.75</v>
      </c>
      <c r="Y40" s="196">
        <v>19238.55</v>
      </c>
      <c r="Z40" s="197">
        <v>39957.9</v>
      </c>
      <c r="AA40" s="163">
        <v>507370.3</v>
      </c>
      <c r="AB40" s="196">
        <v>1889.1126523840519</v>
      </c>
      <c r="AC40" s="196">
        <v>129.22836016696482</v>
      </c>
      <c r="AD40" s="196">
        <v>138.14400119260586</v>
      </c>
      <c r="AE40" s="196">
        <v>129.08490476646784</v>
      </c>
      <c r="AF40" s="196">
        <v>70.280274299344072</v>
      </c>
      <c r="AG40" s="196">
        <v>87.469171138938577</v>
      </c>
      <c r="AH40" s="163">
        <v>2443.3193639483729</v>
      </c>
      <c r="AI40" s="196">
        <v>1913.938195715443</v>
      </c>
      <c r="AJ40" s="196">
        <v>143.33403156721235</v>
      </c>
      <c r="AK40" s="196">
        <v>136.93709440826146</v>
      </c>
      <c r="AL40" s="196">
        <v>129.02331036850049</v>
      </c>
      <c r="AM40" s="196">
        <v>46.725547145455607</v>
      </c>
      <c r="AN40" s="196">
        <v>36.364519157425335</v>
      </c>
      <c r="AO40" s="163">
        <v>2406.3226983622985</v>
      </c>
      <c r="AP40" s="159">
        <v>1901.5254240497475</v>
      </c>
      <c r="AQ40" s="160">
        <v>136.28119586708857</v>
      </c>
      <c r="AR40" s="161">
        <v>137.54054780043367</v>
      </c>
      <c r="AS40" s="161">
        <v>129.05410756748415</v>
      </c>
      <c r="AT40" s="160">
        <v>58.502910722399839</v>
      </c>
      <c r="AU40" s="162">
        <v>61.916845148181956</v>
      </c>
      <c r="AV40" s="163">
        <v>2424.8210311553357</v>
      </c>
      <c r="AW40" s="164">
        <v>2330.2499687959903</v>
      </c>
      <c r="AX40" s="165">
        <v>0.94499999999999995</v>
      </c>
      <c r="AY40" s="166">
        <v>-0.2022943593837267</v>
      </c>
      <c r="AZ40" s="164">
        <v>1375.2212389380531</v>
      </c>
      <c r="BA40" s="160">
        <v>11971.431008989712</v>
      </c>
      <c r="BB40" s="160">
        <v>7150</v>
      </c>
      <c r="BC40" s="162">
        <v>210</v>
      </c>
      <c r="BD40" s="167"/>
    </row>
    <row r="41" spans="1:56" x14ac:dyDescent="0.2">
      <c r="A41" s="168">
        <v>37</v>
      </c>
      <c r="B41" s="169" t="s">
        <v>60</v>
      </c>
      <c r="C41" s="170">
        <v>1376300</v>
      </c>
      <c r="D41" s="104">
        <v>1989800</v>
      </c>
      <c r="E41" s="104">
        <v>336100</v>
      </c>
      <c r="F41" s="104">
        <v>800</v>
      </c>
      <c r="I41" s="104">
        <v>0</v>
      </c>
      <c r="J41" s="104">
        <v>0</v>
      </c>
      <c r="K41" s="171">
        <v>0</v>
      </c>
      <c r="L41" s="172">
        <v>1.59</v>
      </c>
      <c r="M41" s="173">
        <v>1.59</v>
      </c>
      <c r="N41" s="104">
        <v>1550</v>
      </c>
      <c r="O41" s="104">
        <v>1533</v>
      </c>
      <c r="P41" s="104">
        <v>73</v>
      </c>
      <c r="Q41" s="174">
        <v>1832.2354</v>
      </c>
      <c r="R41" s="175">
        <v>202</v>
      </c>
      <c r="S41" s="176">
        <v>2</v>
      </c>
      <c r="T41" s="182">
        <v>0</v>
      </c>
      <c r="U41" s="195">
        <v>0</v>
      </c>
      <c r="V41" s="198">
        <v>0</v>
      </c>
      <c r="W41" s="182">
        <v>51115.4</v>
      </c>
      <c r="X41" s="195">
        <v>19381.150000000001</v>
      </c>
      <c r="Y41" s="195">
        <v>26961.75</v>
      </c>
      <c r="Z41" s="198">
        <v>14255.3</v>
      </c>
      <c r="AA41" s="181">
        <v>69639.05</v>
      </c>
      <c r="AB41" s="195">
        <v>1229.4788587949536</v>
      </c>
      <c r="AC41" s="195">
        <v>112.39692473118278</v>
      </c>
      <c r="AD41" s="195">
        <v>44.346709677419362</v>
      </c>
      <c r="AE41" s="195">
        <v>160.4205360718405</v>
      </c>
      <c r="AF41" s="195">
        <v>33.518731182795698</v>
      </c>
      <c r="AG41" s="195">
        <v>24.963870967741936</v>
      </c>
      <c r="AH41" s="181">
        <v>1605.1256314259338</v>
      </c>
      <c r="AI41" s="195">
        <v>1278.357082697242</v>
      </c>
      <c r="AJ41" s="195">
        <v>111.79056316590562</v>
      </c>
      <c r="AK41" s="195">
        <v>34.757751685148946</v>
      </c>
      <c r="AL41" s="195">
        <v>161.96709169550553</v>
      </c>
      <c r="AM41" s="195">
        <v>44.851380734942381</v>
      </c>
      <c r="AN41" s="195">
        <v>39.576342683191996</v>
      </c>
      <c r="AO41" s="181">
        <v>1671.3002126619365</v>
      </c>
      <c r="AP41" s="177">
        <v>1253.9179707460978</v>
      </c>
      <c r="AQ41" s="178">
        <v>112.0937439485442</v>
      </c>
      <c r="AR41" s="179">
        <v>39.552230681284158</v>
      </c>
      <c r="AS41" s="179">
        <v>161.19381388367302</v>
      </c>
      <c r="AT41" s="178">
        <v>39.185055958869043</v>
      </c>
      <c r="AU41" s="180">
        <v>32.270106825466968</v>
      </c>
      <c r="AV41" s="181">
        <v>1638.2129220439351</v>
      </c>
      <c r="AW41" s="182">
        <v>2330.2499687959903</v>
      </c>
      <c r="AX41" s="183">
        <v>0.94499999999999995</v>
      </c>
      <c r="AY41" s="184">
        <v>0</v>
      </c>
      <c r="AZ41" s="182">
        <v>1375.2212389380531</v>
      </c>
      <c r="BA41" s="178">
        <v>11971.431008989712</v>
      </c>
      <c r="BB41" s="178">
        <v>7150</v>
      </c>
      <c r="BC41" s="180">
        <v>210</v>
      </c>
      <c r="BD41" s="185"/>
    </row>
    <row r="42" spans="1:56" x14ac:dyDescent="0.2">
      <c r="A42" s="148">
        <v>38</v>
      </c>
      <c r="B42" s="149" t="s">
        <v>61</v>
      </c>
      <c r="C42" s="150">
        <v>4865500</v>
      </c>
      <c r="D42" s="151">
        <v>1242400</v>
      </c>
      <c r="E42" s="151">
        <v>1515000</v>
      </c>
      <c r="F42" s="151">
        <v>0</v>
      </c>
      <c r="G42" s="152"/>
      <c r="H42" s="152"/>
      <c r="I42" s="151">
        <v>0</v>
      </c>
      <c r="J42" s="151">
        <v>0</v>
      </c>
      <c r="K42" s="153">
        <v>0</v>
      </c>
      <c r="L42" s="154">
        <v>1.33</v>
      </c>
      <c r="M42" s="155">
        <v>1.33</v>
      </c>
      <c r="N42" s="151">
        <v>8537</v>
      </c>
      <c r="O42" s="151">
        <v>8580</v>
      </c>
      <c r="P42" s="151">
        <v>339</v>
      </c>
      <c r="Q42" s="156">
        <v>3060.1419999999998</v>
      </c>
      <c r="R42" s="157">
        <v>1100</v>
      </c>
      <c r="S42" s="158">
        <v>22</v>
      </c>
      <c r="T42" s="164">
        <v>0</v>
      </c>
      <c r="U42" s="196">
        <v>0</v>
      </c>
      <c r="V42" s="197">
        <v>0</v>
      </c>
      <c r="W42" s="164">
        <v>604917.85</v>
      </c>
      <c r="X42" s="196">
        <v>32501.65</v>
      </c>
      <c r="Y42" s="196">
        <v>43889.42</v>
      </c>
      <c r="Z42" s="197">
        <v>82328.7</v>
      </c>
      <c r="AA42" s="163">
        <v>477525</v>
      </c>
      <c r="AB42" s="196">
        <v>1454.4265713149443</v>
      </c>
      <c r="AC42" s="196">
        <v>32.848604115419157</v>
      </c>
      <c r="AD42" s="196">
        <v>95.360126508141036</v>
      </c>
      <c r="AE42" s="196">
        <v>102.55173166320574</v>
      </c>
      <c r="AF42" s="196">
        <v>49.194924056069652</v>
      </c>
      <c r="AG42" s="196">
        <v>34.553926047401511</v>
      </c>
      <c r="AH42" s="163">
        <v>1768.9358837051816</v>
      </c>
      <c r="AI42" s="196">
        <v>1493.1581855985355</v>
      </c>
      <c r="AJ42" s="196">
        <v>29.95876845376845</v>
      </c>
      <c r="AK42" s="196">
        <v>113.19199689199689</v>
      </c>
      <c r="AL42" s="196">
        <v>104.16749529946652</v>
      </c>
      <c r="AM42" s="196">
        <v>39.089514374514373</v>
      </c>
      <c r="AN42" s="196">
        <v>16.864840714840717</v>
      </c>
      <c r="AO42" s="163">
        <v>1796.4308013331226</v>
      </c>
      <c r="AP42" s="159">
        <v>1473.7923784567399</v>
      </c>
      <c r="AQ42" s="160">
        <v>31.403686284593803</v>
      </c>
      <c r="AR42" s="161">
        <v>104.27606170006896</v>
      </c>
      <c r="AS42" s="161">
        <v>103.35961348133614</v>
      </c>
      <c r="AT42" s="160">
        <v>44.142219215292016</v>
      </c>
      <c r="AU42" s="162">
        <v>25.709383381121114</v>
      </c>
      <c r="AV42" s="163">
        <v>1782.6833425191519</v>
      </c>
      <c r="AW42" s="164">
        <v>2330.2499687959903</v>
      </c>
      <c r="AX42" s="165">
        <v>0.94499999999999995</v>
      </c>
      <c r="AY42" s="166">
        <v>0</v>
      </c>
      <c r="AZ42" s="164">
        <v>1375.2212389380531</v>
      </c>
      <c r="BA42" s="160">
        <v>11971.431008989712</v>
      </c>
      <c r="BB42" s="160">
        <v>7150</v>
      </c>
      <c r="BC42" s="162">
        <v>210</v>
      </c>
      <c r="BD42" s="167"/>
    </row>
    <row r="43" spans="1:56" x14ac:dyDescent="0.2">
      <c r="A43" s="168">
        <v>39</v>
      </c>
      <c r="B43" s="169" t="s">
        <v>62</v>
      </c>
      <c r="C43" s="170">
        <v>3270500</v>
      </c>
      <c r="D43" s="104">
        <v>1122300</v>
      </c>
      <c r="E43" s="104">
        <v>384400</v>
      </c>
      <c r="F43" s="104">
        <v>90000</v>
      </c>
      <c r="I43" s="104">
        <v>0</v>
      </c>
      <c r="J43" s="104">
        <v>0</v>
      </c>
      <c r="K43" s="171">
        <v>0</v>
      </c>
      <c r="L43" s="172">
        <v>1.52</v>
      </c>
      <c r="M43" s="173">
        <v>1.52</v>
      </c>
      <c r="N43" s="104">
        <v>4889</v>
      </c>
      <c r="O43" s="104">
        <v>4876</v>
      </c>
      <c r="P43" s="104">
        <v>211</v>
      </c>
      <c r="Q43" s="174">
        <v>2041.7343999999998</v>
      </c>
      <c r="R43" s="175">
        <v>583</v>
      </c>
      <c r="S43" s="176">
        <v>18</v>
      </c>
      <c r="T43" s="182">
        <v>40867.949999999997</v>
      </c>
      <c r="U43" s="195">
        <v>41373.4</v>
      </c>
      <c r="V43" s="198">
        <v>11645.65</v>
      </c>
      <c r="W43" s="182">
        <v>962581.85</v>
      </c>
      <c r="X43" s="195">
        <v>15822.95</v>
      </c>
      <c r="Y43" s="195">
        <v>44392.47</v>
      </c>
      <c r="Z43" s="198">
        <v>38264.199999999997</v>
      </c>
      <c r="AA43" s="181">
        <v>238762.5</v>
      </c>
      <c r="AB43" s="195">
        <v>1356.6949148418637</v>
      </c>
      <c r="AC43" s="195">
        <v>53.300327265289425</v>
      </c>
      <c r="AD43" s="195">
        <v>119.6531056112361</v>
      </c>
      <c r="AE43" s="195">
        <v>108.67375644413926</v>
      </c>
      <c r="AF43" s="195">
        <v>59.473341514965576</v>
      </c>
      <c r="AG43" s="195">
        <v>41.247439830912931</v>
      </c>
      <c r="AH43" s="181">
        <v>1739.0428855084069</v>
      </c>
      <c r="AI43" s="195">
        <v>1384.4910976155479</v>
      </c>
      <c r="AJ43" s="195">
        <v>46.663146021328956</v>
      </c>
      <c r="AK43" s="195">
        <v>124.00108012031721</v>
      </c>
      <c r="AL43" s="195">
        <v>112.42562585023325</v>
      </c>
      <c r="AM43" s="195">
        <v>73.821499863275903</v>
      </c>
      <c r="AN43" s="195">
        <v>41.543088597210833</v>
      </c>
      <c r="AO43" s="181">
        <v>1782.945538067914</v>
      </c>
      <c r="AP43" s="177">
        <v>1370.5930062287057</v>
      </c>
      <c r="AQ43" s="178">
        <v>49.981736643309191</v>
      </c>
      <c r="AR43" s="179">
        <v>121.82709286577665</v>
      </c>
      <c r="AS43" s="179">
        <v>110.54969114718625</v>
      </c>
      <c r="AT43" s="178">
        <v>66.647420689120736</v>
      </c>
      <c r="AU43" s="180">
        <v>41.395264214061882</v>
      </c>
      <c r="AV43" s="181">
        <v>1760.9942117881603</v>
      </c>
      <c r="AW43" s="182">
        <v>2330.2499687959903</v>
      </c>
      <c r="AX43" s="183">
        <v>0.94499999999999995</v>
      </c>
      <c r="AY43" s="184">
        <v>0</v>
      </c>
      <c r="AZ43" s="182">
        <v>1375.2212389380531</v>
      </c>
      <c r="BA43" s="178">
        <v>11971.431008989712</v>
      </c>
      <c r="BB43" s="178">
        <v>7150</v>
      </c>
      <c r="BC43" s="180">
        <v>210</v>
      </c>
      <c r="BD43" s="185"/>
    </row>
    <row r="44" spans="1:56" x14ac:dyDescent="0.2">
      <c r="A44" s="148">
        <v>40</v>
      </c>
      <c r="B44" s="149" t="s">
        <v>63</v>
      </c>
      <c r="C44" s="150">
        <v>2158000</v>
      </c>
      <c r="D44" s="151">
        <v>0</v>
      </c>
      <c r="E44" s="151">
        <v>169400</v>
      </c>
      <c r="F44" s="151">
        <v>26000</v>
      </c>
      <c r="G44" s="152"/>
      <c r="H44" s="152"/>
      <c r="I44" s="151">
        <v>0</v>
      </c>
      <c r="J44" s="151">
        <v>0</v>
      </c>
      <c r="K44" s="153">
        <v>0</v>
      </c>
      <c r="L44" s="154">
        <v>1.4</v>
      </c>
      <c r="M44" s="155">
        <v>1.45</v>
      </c>
      <c r="N44" s="151">
        <v>5432</v>
      </c>
      <c r="O44" s="151">
        <v>5481</v>
      </c>
      <c r="P44" s="151">
        <v>253</v>
      </c>
      <c r="Q44" s="156">
        <v>1300.6389999999997</v>
      </c>
      <c r="R44" s="157">
        <v>636</v>
      </c>
      <c r="S44" s="158">
        <v>12</v>
      </c>
      <c r="T44" s="164">
        <v>59124.800000000003</v>
      </c>
      <c r="U44" s="196">
        <v>0</v>
      </c>
      <c r="V44" s="197">
        <v>3616.25</v>
      </c>
      <c r="W44" s="164">
        <v>697085.65</v>
      </c>
      <c r="X44" s="196">
        <v>22664.1</v>
      </c>
      <c r="Y44" s="196">
        <v>188264.3</v>
      </c>
      <c r="Z44" s="197">
        <v>44464.05</v>
      </c>
      <c r="AA44" s="163">
        <v>417834.35</v>
      </c>
      <c r="AB44" s="196">
        <v>1620.2107573275014</v>
      </c>
      <c r="AC44" s="196">
        <v>68.192918507609235</v>
      </c>
      <c r="AD44" s="196">
        <v>61.210978154148258</v>
      </c>
      <c r="AE44" s="196">
        <v>92.846794531110376</v>
      </c>
      <c r="AF44" s="196">
        <v>35.767844869906725</v>
      </c>
      <c r="AG44" s="196">
        <v>40.098306332842412</v>
      </c>
      <c r="AH44" s="163">
        <v>1918.3275997231183</v>
      </c>
      <c r="AI44" s="196">
        <v>1617.0380073004035</v>
      </c>
      <c r="AJ44" s="196">
        <v>65.390859332238634</v>
      </c>
      <c r="AK44" s="196">
        <v>72.414005959982973</v>
      </c>
      <c r="AL44" s="196">
        <v>93.897192522336326</v>
      </c>
      <c r="AM44" s="196">
        <v>46.929678282551841</v>
      </c>
      <c r="AN44" s="196">
        <v>37.529812078087943</v>
      </c>
      <c r="AO44" s="163">
        <v>1933.1995554756011</v>
      </c>
      <c r="AP44" s="159">
        <v>1618.6243823139525</v>
      </c>
      <c r="AQ44" s="160">
        <v>66.791888919923935</v>
      </c>
      <c r="AR44" s="161">
        <v>66.812492057065612</v>
      </c>
      <c r="AS44" s="161">
        <v>93.371993526723344</v>
      </c>
      <c r="AT44" s="160">
        <v>41.348761576229279</v>
      </c>
      <c r="AU44" s="162">
        <v>38.814059205465178</v>
      </c>
      <c r="AV44" s="163">
        <v>1925.7635775993597</v>
      </c>
      <c r="AW44" s="164">
        <v>2330.2499687959903</v>
      </c>
      <c r="AX44" s="165">
        <v>0.94499999999999995</v>
      </c>
      <c r="AY44" s="166">
        <v>0</v>
      </c>
      <c r="AZ44" s="164">
        <v>1375.2212389380531</v>
      </c>
      <c r="BA44" s="160">
        <v>11971.431008989712</v>
      </c>
      <c r="BB44" s="160">
        <v>7150</v>
      </c>
      <c r="BC44" s="162">
        <v>210</v>
      </c>
      <c r="BD44" s="167"/>
    </row>
    <row r="45" spans="1:56" x14ac:dyDescent="0.2">
      <c r="A45" s="168">
        <v>41</v>
      </c>
      <c r="B45" s="169" t="s">
        <v>64</v>
      </c>
      <c r="C45" s="170">
        <v>568100</v>
      </c>
      <c r="D45" s="104">
        <v>318600</v>
      </c>
      <c r="E45" s="104">
        <v>0</v>
      </c>
      <c r="F45" s="104">
        <v>92300</v>
      </c>
      <c r="I45" s="104">
        <v>0</v>
      </c>
      <c r="J45" s="104">
        <v>0</v>
      </c>
      <c r="K45" s="171">
        <v>0</v>
      </c>
      <c r="L45" s="172">
        <v>1.4</v>
      </c>
      <c r="M45" s="173">
        <v>1.4</v>
      </c>
      <c r="N45" s="104">
        <v>2812</v>
      </c>
      <c r="O45" s="104">
        <v>2854</v>
      </c>
      <c r="P45" s="104">
        <v>150</v>
      </c>
      <c r="Q45" s="174">
        <v>949.09500000000014</v>
      </c>
      <c r="R45" s="175">
        <v>290</v>
      </c>
      <c r="S45" s="176">
        <v>7</v>
      </c>
      <c r="T45" s="182">
        <v>119413.96999999999</v>
      </c>
      <c r="U45" s="195">
        <v>133582.62</v>
      </c>
      <c r="V45" s="198">
        <v>5880.65</v>
      </c>
      <c r="W45" s="182">
        <v>287242.07</v>
      </c>
      <c r="X45" s="195">
        <v>1600</v>
      </c>
      <c r="Y45" s="195">
        <v>70603</v>
      </c>
      <c r="Z45" s="198">
        <v>43722.25</v>
      </c>
      <c r="AA45" s="181">
        <v>198968.75</v>
      </c>
      <c r="AB45" s="195">
        <v>1593.9092138437966</v>
      </c>
      <c r="AC45" s="195">
        <v>70.457278330962524</v>
      </c>
      <c r="AD45" s="195">
        <v>74.994061166429589</v>
      </c>
      <c r="AE45" s="195">
        <v>133.49723809552555</v>
      </c>
      <c r="AF45" s="195">
        <v>84.940291607396873</v>
      </c>
      <c r="AG45" s="195">
        <v>76.04950213371265</v>
      </c>
      <c r="AH45" s="181">
        <v>2033.8475851778237</v>
      </c>
      <c r="AI45" s="195">
        <v>1598.2505579520387</v>
      </c>
      <c r="AJ45" s="195">
        <v>63.922261153935985</v>
      </c>
      <c r="AK45" s="195">
        <v>86.678976874562025</v>
      </c>
      <c r="AL45" s="195">
        <v>138.55378279735351</v>
      </c>
      <c r="AM45" s="195">
        <v>102.17345246437748</v>
      </c>
      <c r="AN45" s="195">
        <v>95.609915907498248</v>
      </c>
      <c r="AO45" s="181">
        <v>2085.1889471497661</v>
      </c>
      <c r="AP45" s="177">
        <v>1596.0798858979176</v>
      </c>
      <c r="AQ45" s="178">
        <v>67.189769742449258</v>
      </c>
      <c r="AR45" s="179">
        <v>80.836519020495814</v>
      </c>
      <c r="AS45" s="179">
        <v>136.02551044643951</v>
      </c>
      <c r="AT45" s="178">
        <v>93.556872035887181</v>
      </c>
      <c r="AU45" s="180">
        <v>85.829709020605449</v>
      </c>
      <c r="AV45" s="181">
        <v>2059.518266163795</v>
      </c>
      <c r="AW45" s="182">
        <v>2330.2499687959903</v>
      </c>
      <c r="AX45" s="183">
        <v>0.94499999999999995</v>
      </c>
      <c r="AY45" s="184">
        <v>0</v>
      </c>
      <c r="AZ45" s="182">
        <v>1375.2212389380531</v>
      </c>
      <c r="BA45" s="178">
        <v>11971.431008989712</v>
      </c>
      <c r="BB45" s="178">
        <v>7150</v>
      </c>
      <c r="BC45" s="180">
        <v>210</v>
      </c>
      <c r="BD45" s="185"/>
    </row>
    <row r="46" spans="1:56" x14ac:dyDescent="0.2">
      <c r="A46" s="148">
        <v>42</v>
      </c>
      <c r="B46" s="149" t="s">
        <v>65</v>
      </c>
      <c r="C46" s="150">
        <v>0</v>
      </c>
      <c r="D46" s="151">
        <v>1067300</v>
      </c>
      <c r="E46" s="151">
        <v>0</v>
      </c>
      <c r="F46" s="151">
        <v>11100</v>
      </c>
      <c r="G46" s="152"/>
      <c r="H46" s="152"/>
      <c r="I46" s="151">
        <v>0</v>
      </c>
      <c r="J46" s="151">
        <v>0</v>
      </c>
      <c r="K46" s="153">
        <v>0</v>
      </c>
      <c r="L46" s="154">
        <v>1.37</v>
      </c>
      <c r="M46" s="155">
        <v>1.35</v>
      </c>
      <c r="N46" s="151">
        <v>1695</v>
      </c>
      <c r="O46" s="151">
        <v>1750</v>
      </c>
      <c r="P46" s="151">
        <v>112</v>
      </c>
      <c r="Q46" s="156">
        <v>1536.537</v>
      </c>
      <c r="R46" s="157">
        <v>164</v>
      </c>
      <c r="S46" s="158">
        <v>4</v>
      </c>
      <c r="T46" s="164">
        <v>0</v>
      </c>
      <c r="U46" s="196">
        <v>0</v>
      </c>
      <c r="V46" s="197">
        <v>0</v>
      </c>
      <c r="W46" s="164">
        <v>184846.2</v>
      </c>
      <c r="X46" s="196">
        <v>0</v>
      </c>
      <c r="Y46" s="196">
        <v>0</v>
      </c>
      <c r="Z46" s="197">
        <v>0</v>
      </c>
      <c r="AA46" s="163">
        <v>129329.7</v>
      </c>
      <c r="AB46" s="196">
        <v>1987.3648779580092</v>
      </c>
      <c r="AC46" s="196">
        <v>27.52220255653884</v>
      </c>
      <c r="AD46" s="196">
        <v>28.114926253687312</v>
      </c>
      <c r="AE46" s="196">
        <v>135.84223548567439</v>
      </c>
      <c r="AF46" s="196">
        <v>145.5819075712881</v>
      </c>
      <c r="AG46" s="196">
        <v>113.75663716814159</v>
      </c>
      <c r="AH46" s="163">
        <v>2438.1827869933391</v>
      </c>
      <c r="AI46" s="196">
        <v>2124.3927770071145</v>
      </c>
      <c r="AJ46" s="196">
        <v>38.111695238095237</v>
      </c>
      <c r="AK46" s="196">
        <v>52.205790476190465</v>
      </c>
      <c r="AL46" s="196">
        <v>136.13030957919648</v>
      </c>
      <c r="AM46" s="196">
        <v>119.89078095238095</v>
      </c>
      <c r="AN46" s="196">
        <v>138.87645714285716</v>
      </c>
      <c r="AO46" s="163">
        <v>2609.6078103958348</v>
      </c>
      <c r="AP46" s="159">
        <v>2055.878827482562</v>
      </c>
      <c r="AQ46" s="160">
        <v>32.81694889731704</v>
      </c>
      <c r="AR46" s="161">
        <v>40.160358364938887</v>
      </c>
      <c r="AS46" s="161">
        <v>135.98627253243544</v>
      </c>
      <c r="AT46" s="160">
        <v>132.73634426183452</v>
      </c>
      <c r="AU46" s="162">
        <v>126.31654715549938</v>
      </c>
      <c r="AV46" s="163">
        <v>2523.8952986945874</v>
      </c>
      <c r="AW46" s="164">
        <v>2330.2499687959903</v>
      </c>
      <c r="AX46" s="165">
        <v>0.94499999999999995</v>
      </c>
      <c r="AY46" s="166">
        <v>-0.29227654683523074</v>
      </c>
      <c r="AZ46" s="164">
        <v>1375.2212389380531</v>
      </c>
      <c r="BA46" s="160">
        <v>11971.431008989712</v>
      </c>
      <c r="BB46" s="160">
        <v>7150</v>
      </c>
      <c r="BC46" s="162">
        <v>210</v>
      </c>
      <c r="BD46" s="167"/>
    </row>
    <row r="47" spans="1:56" x14ac:dyDescent="0.2">
      <c r="A47" s="168">
        <v>43</v>
      </c>
      <c r="B47" s="169" t="s">
        <v>66</v>
      </c>
      <c r="C47" s="170">
        <v>0</v>
      </c>
      <c r="D47" s="104">
        <v>0</v>
      </c>
      <c r="E47" s="104">
        <v>182100</v>
      </c>
      <c r="F47" s="104">
        <v>5600</v>
      </c>
      <c r="I47" s="104">
        <v>0</v>
      </c>
      <c r="J47" s="104">
        <v>0</v>
      </c>
      <c r="K47" s="171">
        <v>0</v>
      </c>
      <c r="L47" s="172">
        <v>1.43</v>
      </c>
      <c r="M47" s="173">
        <v>1.4</v>
      </c>
      <c r="N47" s="104">
        <v>1591</v>
      </c>
      <c r="O47" s="104">
        <v>1583</v>
      </c>
      <c r="P47" s="104">
        <v>98</v>
      </c>
      <c r="Q47" s="174">
        <v>306.53399999999999</v>
      </c>
      <c r="R47" s="175">
        <v>201</v>
      </c>
      <c r="S47" s="176">
        <v>1</v>
      </c>
      <c r="T47" s="182">
        <v>0</v>
      </c>
      <c r="U47" s="195">
        <v>0</v>
      </c>
      <c r="V47" s="198">
        <v>14822.65</v>
      </c>
      <c r="W47" s="182">
        <v>117426.15</v>
      </c>
      <c r="X47" s="195">
        <v>5685</v>
      </c>
      <c r="Y47" s="195">
        <v>24078.9</v>
      </c>
      <c r="Z47" s="198">
        <v>0</v>
      </c>
      <c r="AA47" s="181">
        <v>109432.8</v>
      </c>
      <c r="AB47" s="195">
        <v>2052.002871525136</v>
      </c>
      <c r="AC47" s="195">
        <v>49.19652210349885</v>
      </c>
      <c r="AD47" s="195">
        <v>31.301634192331864</v>
      </c>
      <c r="AE47" s="195">
        <v>114.08726219589289</v>
      </c>
      <c r="AF47" s="195">
        <v>74.706159648020119</v>
      </c>
      <c r="AG47" s="195">
        <v>280.49281374397657</v>
      </c>
      <c r="AH47" s="181">
        <v>2601.7872634088562</v>
      </c>
      <c r="AI47" s="195">
        <v>2036.8083666580828</v>
      </c>
      <c r="AJ47" s="195">
        <v>52.109201937249942</v>
      </c>
      <c r="AK47" s="195">
        <v>29.067972204674671</v>
      </c>
      <c r="AL47" s="195">
        <v>120.41887683059754</v>
      </c>
      <c r="AM47" s="195">
        <v>70.961255001052862</v>
      </c>
      <c r="AN47" s="195">
        <v>130.10951779321962</v>
      </c>
      <c r="AO47" s="181">
        <v>2439.4751904248778</v>
      </c>
      <c r="AP47" s="177">
        <v>2044.4056190916094</v>
      </c>
      <c r="AQ47" s="178">
        <v>50.6528620203744</v>
      </c>
      <c r="AR47" s="179">
        <v>30.184803198503268</v>
      </c>
      <c r="AS47" s="179">
        <v>117.25306951324521</v>
      </c>
      <c r="AT47" s="178">
        <v>72.833707324536491</v>
      </c>
      <c r="AU47" s="180">
        <v>205.30116576859808</v>
      </c>
      <c r="AV47" s="181">
        <v>2520.6312269168666</v>
      </c>
      <c r="AW47" s="182">
        <v>2330.2499687959903</v>
      </c>
      <c r="AX47" s="183">
        <v>0.94499999999999995</v>
      </c>
      <c r="AY47" s="184">
        <v>-0.28931202006301243</v>
      </c>
      <c r="AZ47" s="182">
        <v>1375.2212389380531</v>
      </c>
      <c r="BA47" s="178">
        <v>11971.431008989712</v>
      </c>
      <c r="BB47" s="178">
        <v>7150</v>
      </c>
      <c r="BC47" s="180">
        <v>210</v>
      </c>
      <c r="BD47" s="185"/>
    </row>
    <row r="48" spans="1:56" x14ac:dyDescent="0.2">
      <c r="A48" s="148">
        <v>44</v>
      </c>
      <c r="B48" s="149" t="s">
        <v>67</v>
      </c>
      <c r="C48" s="150">
        <v>1860500</v>
      </c>
      <c r="D48" s="151">
        <v>215400</v>
      </c>
      <c r="E48" s="151">
        <v>9400</v>
      </c>
      <c r="F48" s="151">
        <v>14000</v>
      </c>
      <c r="G48" s="152"/>
      <c r="H48" s="152"/>
      <c r="I48" s="151">
        <v>0</v>
      </c>
      <c r="J48" s="151">
        <v>0</v>
      </c>
      <c r="K48" s="153">
        <v>0</v>
      </c>
      <c r="L48" s="154">
        <v>1.4</v>
      </c>
      <c r="M48" s="155">
        <v>1.45</v>
      </c>
      <c r="N48" s="151">
        <v>3620</v>
      </c>
      <c r="O48" s="151">
        <v>3692</v>
      </c>
      <c r="P48" s="151">
        <v>131</v>
      </c>
      <c r="Q48" s="156">
        <v>1084.6659999999999</v>
      </c>
      <c r="R48" s="157">
        <v>408</v>
      </c>
      <c r="S48" s="158">
        <v>12</v>
      </c>
      <c r="T48" s="164">
        <v>0</v>
      </c>
      <c r="U48" s="196">
        <v>12744</v>
      </c>
      <c r="V48" s="197">
        <v>4223.8500000000004</v>
      </c>
      <c r="W48" s="164">
        <v>479580.5</v>
      </c>
      <c r="X48" s="196">
        <v>0</v>
      </c>
      <c r="Y48" s="196">
        <v>139436.9</v>
      </c>
      <c r="Z48" s="197">
        <v>3599</v>
      </c>
      <c r="AA48" s="163">
        <v>278556.25</v>
      </c>
      <c r="AB48" s="196">
        <v>1486.5464124375317</v>
      </c>
      <c r="AC48" s="196">
        <v>47.466620626151013</v>
      </c>
      <c r="AD48" s="196">
        <v>140.393241252302</v>
      </c>
      <c r="AE48" s="196">
        <v>89.450773664751665</v>
      </c>
      <c r="AF48" s="196">
        <v>51.072044198895036</v>
      </c>
      <c r="AG48" s="196">
        <v>65.718959484346229</v>
      </c>
      <c r="AH48" s="163">
        <v>1880.6480516639779</v>
      </c>
      <c r="AI48" s="196">
        <v>1461.4374829526357</v>
      </c>
      <c r="AJ48" s="196">
        <v>42.716341639581088</v>
      </c>
      <c r="AK48" s="196">
        <v>120.7440050559769</v>
      </c>
      <c r="AL48" s="196">
        <v>89.666452001029938</v>
      </c>
      <c r="AM48" s="196">
        <v>60.446343445287106</v>
      </c>
      <c r="AN48" s="196">
        <v>33.587188515709641</v>
      </c>
      <c r="AO48" s="163">
        <v>1808.5978136102203</v>
      </c>
      <c r="AP48" s="159">
        <v>1473.9919476950836</v>
      </c>
      <c r="AQ48" s="160">
        <v>45.091481132866051</v>
      </c>
      <c r="AR48" s="161">
        <v>130.56862315413946</v>
      </c>
      <c r="AS48" s="161">
        <v>89.558612832890802</v>
      </c>
      <c r="AT48" s="160">
        <v>55.759193822091071</v>
      </c>
      <c r="AU48" s="162">
        <v>49.653074000027935</v>
      </c>
      <c r="AV48" s="163">
        <v>1844.6229326370988</v>
      </c>
      <c r="AW48" s="164">
        <v>2330.2499687959903</v>
      </c>
      <c r="AX48" s="165">
        <v>0.94499999999999995</v>
      </c>
      <c r="AY48" s="166">
        <v>0</v>
      </c>
      <c r="AZ48" s="164">
        <v>1375.2212389380531</v>
      </c>
      <c r="BA48" s="160">
        <v>11971.431008989712</v>
      </c>
      <c r="BB48" s="160">
        <v>7150</v>
      </c>
      <c r="BC48" s="162">
        <v>210</v>
      </c>
      <c r="BD48" s="167"/>
    </row>
    <row r="49" spans="1:56" x14ac:dyDescent="0.2">
      <c r="A49" s="168">
        <v>45</v>
      </c>
      <c r="B49" s="169" t="s">
        <v>68</v>
      </c>
      <c r="C49" s="170">
        <v>1346600</v>
      </c>
      <c r="D49" s="104">
        <v>99300</v>
      </c>
      <c r="E49" s="104">
        <v>1095600</v>
      </c>
      <c r="F49" s="104">
        <v>0</v>
      </c>
      <c r="I49" s="104">
        <v>0</v>
      </c>
      <c r="J49" s="104">
        <v>0</v>
      </c>
      <c r="K49" s="171">
        <v>0</v>
      </c>
      <c r="L49" s="172">
        <v>1.44</v>
      </c>
      <c r="M49" s="173">
        <v>1.45</v>
      </c>
      <c r="N49" s="104">
        <v>2787</v>
      </c>
      <c r="O49" s="104">
        <v>2803</v>
      </c>
      <c r="P49" s="104">
        <v>84</v>
      </c>
      <c r="Q49" s="174">
        <v>776.79900000000009</v>
      </c>
      <c r="R49" s="175">
        <v>409</v>
      </c>
      <c r="S49" s="176">
        <v>9</v>
      </c>
      <c r="T49" s="182">
        <v>0</v>
      </c>
      <c r="U49" s="195">
        <v>-2975.55</v>
      </c>
      <c r="V49" s="198">
        <v>0</v>
      </c>
      <c r="W49" s="182">
        <v>124565.25</v>
      </c>
      <c r="X49" s="195">
        <v>46.1</v>
      </c>
      <c r="Y49" s="195">
        <v>68920.06</v>
      </c>
      <c r="Z49" s="198">
        <v>2753</v>
      </c>
      <c r="AA49" s="181">
        <v>179071.85</v>
      </c>
      <c r="AB49" s="195">
        <v>1490.105082260729</v>
      </c>
      <c r="AC49" s="195">
        <v>28.021528525296016</v>
      </c>
      <c r="AD49" s="195">
        <v>93.555627317306545</v>
      </c>
      <c r="AE49" s="195">
        <v>82.68334403002973</v>
      </c>
      <c r="AF49" s="195">
        <v>83.305717019495276</v>
      </c>
      <c r="AG49" s="195">
        <v>36.688565961009445</v>
      </c>
      <c r="AH49" s="181">
        <v>1814.3598651138659</v>
      </c>
      <c r="AI49" s="195">
        <v>1550.3880264816908</v>
      </c>
      <c r="AJ49" s="195">
        <v>25.585467951004876</v>
      </c>
      <c r="AK49" s="195">
        <v>109.53305981686289</v>
      </c>
      <c r="AL49" s="195">
        <v>91.850086274156169</v>
      </c>
      <c r="AM49" s="195">
        <v>77.026138660958509</v>
      </c>
      <c r="AN49" s="195">
        <v>70.990855036270659</v>
      </c>
      <c r="AO49" s="181">
        <v>1925.373634220944</v>
      </c>
      <c r="AP49" s="177">
        <v>1520.2465543712099</v>
      </c>
      <c r="AQ49" s="178">
        <v>26.803498238150446</v>
      </c>
      <c r="AR49" s="179">
        <v>101.54434356708472</v>
      </c>
      <c r="AS49" s="179">
        <v>87.266715152092956</v>
      </c>
      <c r="AT49" s="178">
        <v>80.165927840226885</v>
      </c>
      <c r="AU49" s="180">
        <v>53.839710498640052</v>
      </c>
      <c r="AV49" s="181">
        <v>1869.866749667405</v>
      </c>
      <c r="AW49" s="182">
        <v>2330.2499687959903</v>
      </c>
      <c r="AX49" s="183">
        <v>0.94499999999999995</v>
      </c>
      <c r="AY49" s="184">
        <v>0</v>
      </c>
      <c r="AZ49" s="182">
        <v>1375.2212389380531</v>
      </c>
      <c r="BA49" s="178">
        <v>11971.431008989712</v>
      </c>
      <c r="BB49" s="178">
        <v>7150</v>
      </c>
      <c r="BC49" s="180">
        <v>210</v>
      </c>
      <c r="BD49" s="185"/>
    </row>
    <row r="50" spans="1:56" x14ac:dyDescent="0.2">
      <c r="A50" s="148">
        <v>46</v>
      </c>
      <c r="B50" s="149" t="s">
        <v>69</v>
      </c>
      <c r="C50" s="150">
        <v>2354800</v>
      </c>
      <c r="D50" s="151">
        <v>0</v>
      </c>
      <c r="E50" s="151">
        <v>1037500</v>
      </c>
      <c r="F50" s="151">
        <v>0</v>
      </c>
      <c r="G50" s="152"/>
      <c r="H50" s="152"/>
      <c r="I50" s="151">
        <v>0</v>
      </c>
      <c r="J50" s="151">
        <v>0</v>
      </c>
      <c r="K50" s="153">
        <v>0</v>
      </c>
      <c r="L50" s="154">
        <v>1.24</v>
      </c>
      <c r="M50" s="155">
        <v>1.24</v>
      </c>
      <c r="N50" s="151">
        <v>4546</v>
      </c>
      <c r="O50" s="151">
        <v>4621</v>
      </c>
      <c r="P50" s="151">
        <v>145</v>
      </c>
      <c r="Q50" s="156">
        <v>958.23700000000008</v>
      </c>
      <c r="R50" s="157">
        <v>604</v>
      </c>
      <c r="S50" s="158">
        <v>25</v>
      </c>
      <c r="T50" s="164">
        <v>0</v>
      </c>
      <c r="U50" s="196">
        <v>0</v>
      </c>
      <c r="V50" s="197">
        <v>0</v>
      </c>
      <c r="W50" s="164">
        <v>262852.45</v>
      </c>
      <c r="X50" s="196">
        <v>2699.9</v>
      </c>
      <c r="Y50" s="196">
        <v>96551</v>
      </c>
      <c r="Z50" s="197">
        <v>14727</v>
      </c>
      <c r="AA50" s="163">
        <v>318350</v>
      </c>
      <c r="AB50" s="196">
        <v>1483.9841808359918</v>
      </c>
      <c r="AC50" s="196">
        <v>41.298914796891047</v>
      </c>
      <c r="AD50" s="196">
        <v>74.986332306789848</v>
      </c>
      <c r="AE50" s="196">
        <v>75.10765471223597</v>
      </c>
      <c r="AF50" s="196">
        <v>61.63144156034609</v>
      </c>
      <c r="AG50" s="196">
        <v>14.035313095761841</v>
      </c>
      <c r="AH50" s="163">
        <v>1751.0438373080165</v>
      </c>
      <c r="AI50" s="196">
        <v>1542.2195398104514</v>
      </c>
      <c r="AJ50" s="196">
        <v>40.962468441174344</v>
      </c>
      <c r="AK50" s="196">
        <v>62.52642285219649</v>
      </c>
      <c r="AL50" s="196">
        <v>79.281775483156579</v>
      </c>
      <c r="AM50" s="196">
        <v>63.269378922311184</v>
      </c>
      <c r="AN50" s="196">
        <v>58.157029502993588</v>
      </c>
      <c r="AO50" s="163">
        <v>1846.4166150122835</v>
      </c>
      <c r="AP50" s="159">
        <v>1513.1018603232214</v>
      </c>
      <c r="AQ50" s="160">
        <v>41.130691619032696</v>
      </c>
      <c r="AR50" s="161">
        <v>68.756377579493176</v>
      </c>
      <c r="AS50" s="161">
        <v>77.194715097696275</v>
      </c>
      <c r="AT50" s="160">
        <v>62.45041024132864</v>
      </c>
      <c r="AU50" s="162">
        <v>36.096171299377716</v>
      </c>
      <c r="AV50" s="163">
        <v>1798.7302261601499</v>
      </c>
      <c r="AW50" s="164">
        <v>2330.2499687959903</v>
      </c>
      <c r="AX50" s="165">
        <v>0.94499999999999995</v>
      </c>
      <c r="AY50" s="166">
        <v>0</v>
      </c>
      <c r="AZ50" s="164">
        <v>1375.2212389380531</v>
      </c>
      <c r="BA50" s="160">
        <v>11971.431008989712</v>
      </c>
      <c r="BB50" s="160">
        <v>7150</v>
      </c>
      <c r="BC50" s="162">
        <v>210</v>
      </c>
      <c r="BD50" s="167"/>
    </row>
    <row r="51" spans="1:56" x14ac:dyDescent="0.2">
      <c r="A51" s="168">
        <v>48</v>
      </c>
      <c r="B51" s="169" t="s">
        <v>70</v>
      </c>
      <c r="C51" s="170">
        <v>432900</v>
      </c>
      <c r="D51" s="104">
        <v>127700</v>
      </c>
      <c r="E51" s="104">
        <v>827300</v>
      </c>
      <c r="F51" s="104">
        <v>0</v>
      </c>
      <c r="I51" s="104">
        <v>0</v>
      </c>
      <c r="J51" s="104">
        <v>0</v>
      </c>
      <c r="K51" s="171">
        <v>0</v>
      </c>
      <c r="L51" s="172">
        <v>1.3753716325360652</v>
      </c>
      <c r="M51" s="173">
        <v>1.23</v>
      </c>
      <c r="N51" s="104">
        <v>4896</v>
      </c>
      <c r="O51" s="104">
        <v>4979</v>
      </c>
      <c r="P51" s="104">
        <v>203</v>
      </c>
      <c r="Q51" s="174">
        <v>1344.4384000000002</v>
      </c>
      <c r="R51" s="175">
        <v>634</v>
      </c>
      <c r="S51" s="176">
        <v>7</v>
      </c>
      <c r="T51" s="182">
        <v>0</v>
      </c>
      <c r="U51" s="195">
        <v>0</v>
      </c>
      <c r="V51" s="198">
        <v>0</v>
      </c>
      <c r="W51" s="182">
        <v>221734.7</v>
      </c>
      <c r="X51" s="195">
        <v>0</v>
      </c>
      <c r="Y51" s="195">
        <v>37915.25</v>
      </c>
      <c r="Z51" s="198">
        <v>32470.5</v>
      </c>
      <c r="AA51" s="181">
        <v>308401.55</v>
      </c>
      <c r="AB51" s="195">
        <v>1747.8994770404986</v>
      </c>
      <c r="AC51" s="195">
        <v>37.359586056644886</v>
      </c>
      <c r="AD51" s="195">
        <v>35.936322167755996</v>
      </c>
      <c r="AE51" s="195">
        <v>107.4334822752365</v>
      </c>
      <c r="AF51" s="195">
        <v>72.983067810457527</v>
      </c>
      <c r="AG51" s="195">
        <v>126.34919662309368</v>
      </c>
      <c r="AH51" s="181">
        <v>2127.9611319736873</v>
      </c>
      <c r="AI51" s="195">
        <v>1820.3602907541301</v>
      </c>
      <c r="AJ51" s="195">
        <v>38.35246033340028</v>
      </c>
      <c r="AK51" s="195">
        <v>48.331257950056909</v>
      </c>
      <c r="AL51" s="195">
        <v>110.39799905538121</v>
      </c>
      <c r="AM51" s="195">
        <v>52.642083417018149</v>
      </c>
      <c r="AN51" s="195">
        <v>73.772578161612103</v>
      </c>
      <c r="AO51" s="181">
        <v>2143.8566696715989</v>
      </c>
      <c r="AP51" s="177">
        <v>1784.1298838973144</v>
      </c>
      <c r="AQ51" s="178">
        <v>37.856023195022587</v>
      </c>
      <c r="AR51" s="179">
        <v>42.133790058906456</v>
      </c>
      <c r="AS51" s="179">
        <v>108.91574066530885</v>
      </c>
      <c r="AT51" s="178">
        <v>62.812575613737835</v>
      </c>
      <c r="AU51" s="180">
        <v>100.0608873923529</v>
      </c>
      <c r="AV51" s="181">
        <v>2135.9089008226429</v>
      </c>
      <c r="AW51" s="182">
        <v>2330.2499687959903</v>
      </c>
      <c r="AX51" s="183">
        <v>0.94499999999999995</v>
      </c>
      <c r="AY51" s="184">
        <v>0</v>
      </c>
      <c r="AZ51" s="182">
        <v>1375.2212389380531</v>
      </c>
      <c r="BA51" s="178">
        <v>11971.431008989712</v>
      </c>
      <c r="BB51" s="178">
        <v>7150</v>
      </c>
      <c r="BC51" s="180">
        <v>210</v>
      </c>
      <c r="BD51" s="185"/>
    </row>
    <row r="52" spans="1:56" x14ac:dyDescent="0.2">
      <c r="A52" s="148">
        <v>50</v>
      </c>
      <c r="B52" s="149" t="s">
        <v>71</v>
      </c>
      <c r="C52" s="150">
        <v>0</v>
      </c>
      <c r="D52" s="151">
        <v>0</v>
      </c>
      <c r="E52" s="151">
        <v>1235900</v>
      </c>
      <c r="F52" s="151">
        <v>100900</v>
      </c>
      <c r="G52" s="152"/>
      <c r="H52" s="152"/>
      <c r="I52" s="151">
        <v>0</v>
      </c>
      <c r="J52" s="151">
        <v>0</v>
      </c>
      <c r="K52" s="153">
        <v>0</v>
      </c>
      <c r="L52" s="154">
        <v>1.52</v>
      </c>
      <c r="M52" s="155">
        <v>1.52</v>
      </c>
      <c r="N52" s="151">
        <v>5998</v>
      </c>
      <c r="O52" s="151">
        <v>6144</v>
      </c>
      <c r="P52" s="151">
        <v>250</v>
      </c>
      <c r="Q52" s="156">
        <v>872.81299999999987</v>
      </c>
      <c r="R52" s="157">
        <v>798</v>
      </c>
      <c r="S52" s="158">
        <v>27</v>
      </c>
      <c r="T52" s="164">
        <v>236651.34999999998</v>
      </c>
      <c r="U52" s="196">
        <v>15227.85</v>
      </c>
      <c r="V52" s="197">
        <v>54452.9</v>
      </c>
      <c r="W52" s="164">
        <v>1035456.45</v>
      </c>
      <c r="X52" s="196">
        <v>17963.55</v>
      </c>
      <c r="Y52" s="196">
        <v>168122.65</v>
      </c>
      <c r="Z52" s="197"/>
      <c r="AA52" s="163">
        <v>378040.6</v>
      </c>
      <c r="AB52" s="196">
        <v>1686.7768247795575</v>
      </c>
      <c r="AC52" s="196">
        <v>47.785372902078457</v>
      </c>
      <c r="AD52" s="196">
        <v>179.63438924085807</v>
      </c>
      <c r="AE52" s="196">
        <v>96.097855486860638</v>
      </c>
      <c r="AF52" s="196">
        <v>74.00459597643659</v>
      </c>
      <c r="AG52" s="196">
        <v>65.236878959653225</v>
      </c>
      <c r="AH52" s="163">
        <v>2149.5359173454444</v>
      </c>
      <c r="AI52" s="196">
        <v>1856.7740749121447</v>
      </c>
      <c r="AJ52" s="196">
        <v>46.839284939236116</v>
      </c>
      <c r="AK52" s="196">
        <v>171.19931098090277</v>
      </c>
      <c r="AL52" s="196">
        <v>97.190336473920979</v>
      </c>
      <c r="AM52" s="196">
        <v>74.483083767361109</v>
      </c>
      <c r="AN52" s="196">
        <v>74.284011501736103</v>
      </c>
      <c r="AO52" s="163">
        <v>2320.7701025753022</v>
      </c>
      <c r="AP52" s="159">
        <v>1771.7754498458512</v>
      </c>
      <c r="AQ52" s="160">
        <v>47.312328920657286</v>
      </c>
      <c r="AR52" s="161">
        <v>175.41685011088043</v>
      </c>
      <c r="AS52" s="161">
        <v>96.644095980390802</v>
      </c>
      <c r="AT52" s="160">
        <v>74.243839871898842</v>
      </c>
      <c r="AU52" s="162">
        <v>69.760445230694671</v>
      </c>
      <c r="AV52" s="163">
        <v>2235.1530099603729</v>
      </c>
      <c r="AW52" s="164">
        <v>2330.2499687959903</v>
      </c>
      <c r="AX52" s="165">
        <v>0.94499999999999995</v>
      </c>
      <c r="AY52" s="166">
        <v>-3.0032238647286706E-2</v>
      </c>
      <c r="AZ52" s="164">
        <v>1375.2212389380531</v>
      </c>
      <c r="BA52" s="160">
        <v>11971.431008989712</v>
      </c>
      <c r="BB52" s="160">
        <v>7150</v>
      </c>
      <c r="BC52" s="162">
        <v>210</v>
      </c>
      <c r="BD52" s="167"/>
    </row>
    <row r="53" spans="1:56" x14ac:dyDescent="0.2">
      <c r="A53" s="168">
        <v>51</v>
      </c>
      <c r="B53" s="169" t="s">
        <v>72</v>
      </c>
      <c r="C53" s="170">
        <v>0</v>
      </c>
      <c r="D53" s="104">
        <v>0</v>
      </c>
      <c r="E53" s="104">
        <v>0</v>
      </c>
      <c r="F53" s="104">
        <v>0</v>
      </c>
      <c r="I53" s="104">
        <v>0</v>
      </c>
      <c r="J53" s="104">
        <v>0</v>
      </c>
      <c r="K53" s="171">
        <v>0</v>
      </c>
      <c r="L53" s="172">
        <v>1.44</v>
      </c>
      <c r="M53" s="173">
        <v>1.4</v>
      </c>
      <c r="N53" s="104">
        <v>3422</v>
      </c>
      <c r="O53" s="104">
        <v>3471</v>
      </c>
      <c r="P53" s="104">
        <v>142</v>
      </c>
      <c r="Q53" s="174">
        <v>542.88499999999988</v>
      </c>
      <c r="R53" s="175">
        <v>393</v>
      </c>
      <c r="S53" s="176">
        <v>5</v>
      </c>
      <c r="T53" s="182">
        <v>0</v>
      </c>
      <c r="U53" s="195">
        <v>0</v>
      </c>
      <c r="V53" s="198">
        <v>0</v>
      </c>
      <c r="W53" s="182">
        <v>413076.5</v>
      </c>
      <c r="X53" s="195">
        <v>0</v>
      </c>
      <c r="Y53" s="195">
        <v>9481.65</v>
      </c>
      <c r="Z53" s="198">
        <v>3412</v>
      </c>
      <c r="AA53" s="181">
        <v>198968.75</v>
      </c>
      <c r="AB53" s="195">
        <v>1957.1451226782428</v>
      </c>
      <c r="AC53" s="195">
        <v>50.697214104811998</v>
      </c>
      <c r="AD53" s="195">
        <v>122.0532144944477</v>
      </c>
      <c r="AE53" s="195">
        <v>106.57709592980078</v>
      </c>
      <c r="AF53" s="195">
        <v>68.011835184102864</v>
      </c>
      <c r="AG53" s="195">
        <v>97.366471848821348</v>
      </c>
      <c r="AH53" s="181">
        <v>2401.8509542402271</v>
      </c>
      <c r="AI53" s="195">
        <v>2068.3119800691716</v>
      </c>
      <c r="AJ53" s="195">
        <v>52.008719869394035</v>
      </c>
      <c r="AK53" s="195">
        <v>137.27593392874292</v>
      </c>
      <c r="AL53" s="195">
        <v>108.43544765049734</v>
      </c>
      <c r="AM53" s="195">
        <v>69.264801690194957</v>
      </c>
      <c r="AN53" s="195">
        <v>51.040708729472776</v>
      </c>
      <c r="AO53" s="181">
        <v>2486.3375919374739</v>
      </c>
      <c r="AP53" s="177">
        <v>2012.7285513737072</v>
      </c>
      <c r="AQ53" s="178">
        <v>51.352966987103017</v>
      </c>
      <c r="AR53" s="179">
        <v>129.66457421159532</v>
      </c>
      <c r="AS53" s="179">
        <v>107.50627179014906</v>
      </c>
      <c r="AT53" s="178">
        <v>68.638318437148911</v>
      </c>
      <c r="AU53" s="180">
        <v>74.203590289147058</v>
      </c>
      <c r="AV53" s="181">
        <v>2444.0942730888505</v>
      </c>
      <c r="AW53" s="182">
        <v>2330.2499687959903</v>
      </c>
      <c r="AX53" s="183">
        <v>0.94499999999999995</v>
      </c>
      <c r="AY53" s="184">
        <v>-0.21979888918277507</v>
      </c>
      <c r="AZ53" s="182">
        <v>1375.2212389380531</v>
      </c>
      <c r="BA53" s="178">
        <v>11971.431008989712</v>
      </c>
      <c r="BB53" s="178">
        <v>7150</v>
      </c>
      <c r="BC53" s="180">
        <v>210</v>
      </c>
      <c r="BD53" s="185"/>
    </row>
    <row r="54" spans="1:56" x14ac:dyDescent="0.2">
      <c r="A54" s="148">
        <v>52</v>
      </c>
      <c r="B54" s="149" t="s">
        <v>73</v>
      </c>
      <c r="C54" s="150">
        <v>0</v>
      </c>
      <c r="D54" s="151">
        <v>0</v>
      </c>
      <c r="E54" s="151">
        <v>0</v>
      </c>
      <c r="F54" s="151">
        <v>11300</v>
      </c>
      <c r="G54" s="152"/>
      <c r="H54" s="152"/>
      <c r="I54" s="151">
        <v>0</v>
      </c>
      <c r="J54" s="151">
        <v>0</v>
      </c>
      <c r="K54" s="153">
        <v>0</v>
      </c>
      <c r="L54" s="154">
        <v>0.92</v>
      </c>
      <c r="M54" s="155">
        <v>0.92</v>
      </c>
      <c r="N54" s="151">
        <v>26354</v>
      </c>
      <c r="O54" s="151">
        <v>26542</v>
      </c>
      <c r="P54" s="151">
        <v>1250</v>
      </c>
      <c r="Q54" s="156">
        <v>2655.1620000000003</v>
      </c>
      <c r="R54" s="157">
        <v>2857</v>
      </c>
      <c r="S54" s="158">
        <v>57</v>
      </c>
      <c r="T54" s="164">
        <v>218409.95</v>
      </c>
      <c r="U54" s="196">
        <v>21730.2</v>
      </c>
      <c r="V54" s="197">
        <v>67074.100000000006</v>
      </c>
      <c r="W54" s="164">
        <v>2976308.72</v>
      </c>
      <c r="X54" s="196">
        <v>12564.65</v>
      </c>
      <c r="Y54" s="196">
        <v>275145.63</v>
      </c>
      <c r="Z54" s="197">
        <v>164592.54999999999</v>
      </c>
      <c r="AA54" s="163">
        <v>1522110.8499999999</v>
      </c>
      <c r="AB54" s="196">
        <v>2922.9253444673695</v>
      </c>
      <c r="AC54" s="196">
        <v>51.129206192608343</v>
      </c>
      <c r="AD54" s="196">
        <v>332.28111608610965</v>
      </c>
      <c r="AE54" s="196">
        <v>120.56883727767647</v>
      </c>
      <c r="AF54" s="196">
        <v>71.049903872909866</v>
      </c>
      <c r="AG54" s="196">
        <v>79.662993599959535</v>
      </c>
      <c r="AH54" s="163">
        <v>3577.6174014966332</v>
      </c>
      <c r="AI54" s="196">
        <v>2878.1983479910114</v>
      </c>
      <c r="AJ54" s="196">
        <v>49.342930701027299</v>
      </c>
      <c r="AK54" s="196">
        <v>321.97522417300883</v>
      </c>
      <c r="AL54" s="196">
        <v>123.14932276560363</v>
      </c>
      <c r="AM54" s="196">
        <v>69.203722402230426</v>
      </c>
      <c r="AN54" s="196">
        <v>108.50495566774671</v>
      </c>
      <c r="AO54" s="163">
        <v>3550.3745037006288</v>
      </c>
      <c r="AP54" s="159">
        <v>2900.5618462291905</v>
      </c>
      <c r="AQ54" s="160">
        <v>50.236068446817825</v>
      </c>
      <c r="AR54" s="161">
        <v>327.12817012955924</v>
      </c>
      <c r="AS54" s="161">
        <v>121.85908002164004</v>
      </c>
      <c r="AT54" s="160">
        <v>70.126813137570139</v>
      </c>
      <c r="AU54" s="162">
        <v>94.083974633853131</v>
      </c>
      <c r="AV54" s="163">
        <v>3563.9959525986305</v>
      </c>
      <c r="AW54" s="164">
        <v>2330.2499687959903</v>
      </c>
      <c r="AX54" s="165">
        <v>0.94499999999999995</v>
      </c>
      <c r="AY54" s="166">
        <v>-1</v>
      </c>
      <c r="AZ54" s="164">
        <v>1375.2212389380531</v>
      </c>
      <c r="BA54" s="160">
        <v>11971.431008989712</v>
      </c>
      <c r="BB54" s="160">
        <v>7150</v>
      </c>
      <c r="BC54" s="162">
        <v>210</v>
      </c>
      <c r="BD54" s="167"/>
    </row>
    <row r="55" spans="1:56" x14ac:dyDescent="0.2">
      <c r="A55" s="168">
        <v>54</v>
      </c>
      <c r="B55" s="169" t="s">
        <v>74</v>
      </c>
      <c r="C55" s="170">
        <v>1928100</v>
      </c>
      <c r="D55" s="104">
        <v>1618300</v>
      </c>
      <c r="E55" s="104">
        <v>1710800</v>
      </c>
      <c r="F55" s="104">
        <v>65600</v>
      </c>
      <c r="I55" s="104">
        <v>0</v>
      </c>
      <c r="J55" s="104">
        <v>0</v>
      </c>
      <c r="K55" s="171">
        <v>0</v>
      </c>
      <c r="L55" s="172">
        <v>1.3785656455019164</v>
      </c>
      <c r="M55" s="173">
        <v>1.27</v>
      </c>
      <c r="N55" s="104">
        <v>8760</v>
      </c>
      <c r="O55" s="104">
        <v>8903</v>
      </c>
      <c r="P55" s="104">
        <v>329</v>
      </c>
      <c r="Q55" s="174">
        <v>3414.6864</v>
      </c>
      <c r="R55" s="175">
        <v>1153</v>
      </c>
      <c r="S55" s="176">
        <v>24</v>
      </c>
      <c r="T55" s="182">
        <v>228891.5</v>
      </c>
      <c r="U55" s="195">
        <v>21054</v>
      </c>
      <c r="V55" s="198">
        <v>32622.9</v>
      </c>
      <c r="W55" s="182">
        <v>254984.3</v>
      </c>
      <c r="X55" s="195">
        <v>6825.8</v>
      </c>
      <c r="Y55" s="195">
        <v>137320.4</v>
      </c>
      <c r="Z55" s="198">
        <v>20128</v>
      </c>
      <c r="AA55" s="181">
        <v>706339.05</v>
      </c>
      <c r="AB55" s="195">
        <v>1640.8378881508665</v>
      </c>
      <c r="AC55" s="195">
        <v>49.61715753424658</v>
      </c>
      <c r="AD55" s="195">
        <v>97.525258751902584</v>
      </c>
      <c r="AE55" s="195">
        <v>91.920182179180685</v>
      </c>
      <c r="AF55" s="195">
        <v>83.811057838660588</v>
      </c>
      <c r="AG55" s="195">
        <v>83.003405631659064</v>
      </c>
      <c r="AH55" s="181">
        <v>2046.7149500865162</v>
      </c>
      <c r="AI55" s="195">
        <v>1627.8633783666564</v>
      </c>
      <c r="AJ55" s="195">
        <v>39.355385825002813</v>
      </c>
      <c r="AK55" s="195">
        <v>93.078445467819819</v>
      </c>
      <c r="AL55" s="195">
        <v>94.380103279979892</v>
      </c>
      <c r="AM55" s="195">
        <v>63.916616121906472</v>
      </c>
      <c r="AN55" s="195">
        <v>113.78811636527013</v>
      </c>
      <c r="AO55" s="181">
        <v>2032.3820454266354</v>
      </c>
      <c r="AP55" s="177">
        <v>1634.3506332587615</v>
      </c>
      <c r="AQ55" s="178">
        <v>44.486271679624693</v>
      </c>
      <c r="AR55" s="179">
        <v>95.301852109861201</v>
      </c>
      <c r="AS55" s="179">
        <v>93.150142729580296</v>
      </c>
      <c r="AT55" s="178">
        <v>73.863836980283537</v>
      </c>
      <c r="AU55" s="180">
        <v>98.395760998464596</v>
      </c>
      <c r="AV55" s="181">
        <v>2039.5484977565757</v>
      </c>
      <c r="AW55" s="182">
        <v>2330.2499687959903</v>
      </c>
      <c r="AX55" s="183">
        <v>0.94499999999999995</v>
      </c>
      <c r="AY55" s="184">
        <v>0</v>
      </c>
      <c r="AZ55" s="182">
        <v>1375.2212389380531</v>
      </c>
      <c r="BA55" s="178">
        <v>11971.431008989712</v>
      </c>
      <c r="BB55" s="178">
        <v>7150</v>
      </c>
      <c r="BC55" s="180">
        <v>210</v>
      </c>
      <c r="BD55" s="185"/>
    </row>
    <row r="56" spans="1:56" x14ac:dyDescent="0.2">
      <c r="A56" s="148">
        <v>57</v>
      </c>
      <c r="B56" s="149" t="s">
        <v>75</v>
      </c>
      <c r="C56" s="150">
        <v>495900</v>
      </c>
      <c r="D56" s="151">
        <v>1913300</v>
      </c>
      <c r="E56" s="151">
        <v>77400</v>
      </c>
      <c r="F56" s="151">
        <v>17300</v>
      </c>
      <c r="G56" s="152"/>
      <c r="H56" s="152"/>
      <c r="I56" s="151">
        <v>0</v>
      </c>
      <c r="J56" s="151">
        <v>0</v>
      </c>
      <c r="K56" s="153">
        <v>0</v>
      </c>
      <c r="L56" s="154">
        <v>1.48</v>
      </c>
      <c r="M56" s="155">
        <v>1.48</v>
      </c>
      <c r="N56" s="151">
        <v>2642</v>
      </c>
      <c r="O56" s="151">
        <v>2668</v>
      </c>
      <c r="P56" s="151">
        <v>151</v>
      </c>
      <c r="Q56" s="156">
        <v>2061.9035999999996</v>
      </c>
      <c r="R56" s="157">
        <v>309</v>
      </c>
      <c r="S56" s="158">
        <v>8</v>
      </c>
      <c r="T56" s="164">
        <v>0</v>
      </c>
      <c r="U56" s="196">
        <v>0</v>
      </c>
      <c r="V56" s="197">
        <v>17153.099999999999</v>
      </c>
      <c r="W56" s="164">
        <v>439179.6</v>
      </c>
      <c r="X56" s="196">
        <v>21649.9</v>
      </c>
      <c r="Y56" s="196">
        <v>47319.05</v>
      </c>
      <c r="Z56" s="197">
        <v>2618</v>
      </c>
      <c r="AA56" s="163">
        <v>179071.85</v>
      </c>
      <c r="AB56" s="196">
        <v>1597.3945470413353</v>
      </c>
      <c r="AC56" s="196">
        <v>50.640524854907909</v>
      </c>
      <c r="AD56" s="196">
        <v>69.806926570779723</v>
      </c>
      <c r="AE56" s="196">
        <v>153.66007194613937</v>
      </c>
      <c r="AF56" s="196">
        <v>81.129308604592481</v>
      </c>
      <c r="AG56" s="196">
        <v>44.127542265960138</v>
      </c>
      <c r="AH56" s="163">
        <v>1996.7589212837149</v>
      </c>
      <c r="AI56" s="196">
        <v>1703.5536696795439</v>
      </c>
      <c r="AJ56" s="196">
        <v>57.445439780109965</v>
      </c>
      <c r="AK56" s="196">
        <v>82.051411794102947</v>
      </c>
      <c r="AL56" s="196">
        <v>153.92120885795075</v>
      </c>
      <c r="AM56" s="196">
        <v>85.071189405297361</v>
      </c>
      <c r="AN56" s="196">
        <v>72.280209895052465</v>
      </c>
      <c r="AO56" s="163">
        <v>2154.3231294120574</v>
      </c>
      <c r="AP56" s="159">
        <v>1650.4741083604395</v>
      </c>
      <c r="AQ56" s="160">
        <v>54.042982317508937</v>
      </c>
      <c r="AR56" s="161">
        <v>75.929169182441342</v>
      </c>
      <c r="AS56" s="161">
        <v>153.79064040204506</v>
      </c>
      <c r="AT56" s="160">
        <v>83.100249004944914</v>
      </c>
      <c r="AU56" s="162">
        <v>58.203876080506305</v>
      </c>
      <c r="AV56" s="163">
        <v>2075.5410253478858</v>
      </c>
      <c r="AW56" s="164">
        <v>2330.2499687959903</v>
      </c>
      <c r="AX56" s="165">
        <v>0.94499999999999995</v>
      </c>
      <c r="AY56" s="166">
        <v>0</v>
      </c>
      <c r="AZ56" s="164">
        <v>1375.2212389380531</v>
      </c>
      <c r="BA56" s="160">
        <v>11971.431008989712</v>
      </c>
      <c r="BB56" s="160">
        <v>7150</v>
      </c>
      <c r="BC56" s="162">
        <v>210</v>
      </c>
      <c r="BD56" s="167"/>
    </row>
    <row r="57" spans="1:56" x14ac:dyDescent="0.2">
      <c r="A57" s="168">
        <v>60</v>
      </c>
      <c r="B57" s="169" t="s">
        <v>76</v>
      </c>
      <c r="C57" s="170">
        <v>3401600</v>
      </c>
      <c r="D57" s="104">
        <v>2372600</v>
      </c>
      <c r="E57" s="104">
        <v>467700</v>
      </c>
      <c r="F57" s="104">
        <v>68200</v>
      </c>
      <c r="I57" s="104">
        <v>0</v>
      </c>
      <c r="J57" s="104">
        <v>0</v>
      </c>
      <c r="K57" s="171">
        <v>0</v>
      </c>
      <c r="L57" s="172">
        <v>1.4538088136063916</v>
      </c>
      <c r="M57" s="173">
        <v>1.44</v>
      </c>
      <c r="N57" s="104">
        <v>3665</v>
      </c>
      <c r="O57" s="104">
        <v>3628</v>
      </c>
      <c r="P57" s="104">
        <v>228</v>
      </c>
      <c r="Q57" s="174">
        <v>2637.1947999999998</v>
      </c>
      <c r="R57" s="175">
        <v>448</v>
      </c>
      <c r="S57" s="176">
        <v>15</v>
      </c>
      <c r="T57" s="182">
        <v>0</v>
      </c>
      <c r="U57" s="195">
        <v>28232.45</v>
      </c>
      <c r="V57" s="198">
        <v>0</v>
      </c>
      <c r="W57" s="182">
        <v>387469.5</v>
      </c>
      <c r="X57" s="195">
        <v>3044.9</v>
      </c>
      <c r="Y57" s="195">
        <v>82904.38</v>
      </c>
      <c r="Z57" s="198">
        <v>0</v>
      </c>
      <c r="AA57" s="181">
        <v>318350</v>
      </c>
      <c r="AB57" s="195">
        <v>1335.6152952435659</v>
      </c>
      <c r="AC57" s="195">
        <v>19.538872214643018</v>
      </c>
      <c r="AD57" s="195">
        <v>46.542337426102769</v>
      </c>
      <c r="AE57" s="195">
        <v>79.14851267760929</v>
      </c>
      <c r="AF57" s="195">
        <v>41.838790359254205</v>
      </c>
      <c r="AG57" s="195">
        <v>41.022864938608464</v>
      </c>
      <c r="AH57" s="181">
        <v>1563.7066728597838</v>
      </c>
      <c r="AI57" s="195">
        <v>1308.1389795470413</v>
      </c>
      <c r="AJ57" s="195">
        <v>18.667521131936791</v>
      </c>
      <c r="AK57" s="195">
        <v>53.471811833884594</v>
      </c>
      <c r="AL57" s="195">
        <v>81.665833209540253</v>
      </c>
      <c r="AM57" s="195">
        <v>72.3462789415656</v>
      </c>
      <c r="AN57" s="195">
        <v>31.219606762219772</v>
      </c>
      <c r="AO57" s="181">
        <v>1565.5100314261886</v>
      </c>
      <c r="AP57" s="177">
        <v>1321.8771373953036</v>
      </c>
      <c r="AQ57" s="178">
        <v>19.103196673289904</v>
      </c>
      <c r="AR57" s="179">
        <v>50.007074629993681</v>
      </c>
      <c r="AS57" s="179">
        <v>80.407172943574778</v>
      </c>
      <c r="AT57" s="178">
        <v>57.092534650409902</v>
      </c>
      <c r="AU57" s="180">
        <v>36.121235850414116</v>
      </c>
      <c r="AV57" s="181">
        <v>1564.6083521429862</v>
      </c>
      <c r="AW57" s="182">
        <v>2330.2499687959903</v>
      </c>
      <c r="AX57" s="183">
        <v>0.94499999999999995</v>
      </c>
      <c r="AY57" s="184">
        <v>0</v>
      </c>
      <c r="AZ57" s="182">
        <v>1375.2212389380531</v>
      </c>
      <c r="BA57" s="178">
        <v>11971.431008989712</v>
      </c>
      <c r="BB57" s="178">
        <v>7150</v>
      </c>
      <c r="BC57" s="180">
        <v>210</v>
      </c>
      <c r="BD57" s="185"/>
    </row>
    <row r="58" spans="1:56" x14ac:dyDescent="0.2">
      <c r="A58" s="148">
        <v>62</v>
      </c>
      <c r="B58" s="149" t="s">
        <v>77</v>
      </c>
      <c r="C58" s="150">
        <v>3882900</v>
      </c>
      <c r="D58" s="151">
        <v>1583400</v>
      </c>
      <c r="E58" s="151">
        <v>348100</v>
      </c>
      <c r="F58" s="151">
        <v>248000</v>
      </c>
      <c r="G58" s="152"/>
      <c r="H58" s="152"/>
      <c r="I58" s="151">
        <v>0</v>
      </c>
      <c r="J58" s="151">
        <v>0</v>
      </c>
      <c r="K58" s="153">
        <v>0</v>
      </c>
      <c r="L58" s="154">
        <v>1.45</v>
      </c>
      <c r="M58" s="155">
        <v>1.45</v>
      </c>
      <c r="N58" s="151">
        <v>4945</v>
      </c>
      <c r="O58" s="151">
        <v>4977</v>
      </c>
      <c r="P58" s="151">
        <v>316</v>
      </c>
      <c r="Q58" s="156">
        <v>2402.4285999999997</v>
      </c>
      <c r="R58" s="157">
        <v>591</v>
      </c>
      <c r="S58" s="158">
        <v>19</v>
      </c>
      <c r="T58" s="164">
        <v>208030</v>
      </c>
      <c r="U58" s="196">
        <v>91840</v>
      </c>
      <c r="V58" s="197">
        <v>34788.15</v>
      </c>
      <c r="W58" s="164">
        <v>595791.94999999995</v>
      </c>
      <c r="X58" s="196">
        <v>11318.05</v>
      </c>
      <c r="Y58" s="196">
        <v>120757.3</v>
      </c>
      <c r="Z58" s="197">
        <v>0</v>
      </c>
      <c r="AA58" s="163">
        <v>507370.3</v>
      </c>
      <c r="AB58" s="196">
        <v>1345.2597092681149</v>
      </c>
      <c r="AC58" s="196">
        <v>25.452153690596564</v>
      </c>
      <c r="AD58" s="196">
        <v>92.698429389956189</v>
      </c>
      <c r="AE58" s="196">
        <v>83.151359027419375</v>
      </c>
      <c r="AF58" s="196">
        <v>65.749052915402757</v>
      </c>
      <c r="AG58" s="196">
        <v>30.929760701044824</v>
      </c>
      <c r="AH58" s="163">
        <v>1643.2404649925345</v>
      </c>
      <c r="AI58" s="196">
        <v>1383.835331856769</v>
      </c>
      <c r="AJ58" s="196">
        <v>25.814794722389664</v>
      </c>
      <c r="AK58" s="196">
        <v>85.038276069921636</v>
      </c>
      <c r="AL58" s="196">
        <v>84.547529063882848</v>
      </c>
      <c r="AM58" s="196">
        <v>52.360538476994172</v>
      </c>
      <c r="AN58" s="196">
        <v>52.576284240841204</v>
      </c>
      <c r="AO58" s="163">
        <v>1684.1727544307987</v>
      </c>
      <c r="AP58" s="159">
        <v>1364.5475205624421</v>
      </c>
      <c r="AQ58" s="160">
        <v>25.633474206493112</v>
      </c>
      <c r="AR58" s="161">
        <v>88.86835272993892</v>
      </c>
      <c r="AS58" s="161">
        <v>83.849444045651111</v>
      </c>
      <c r="AT58" s="160">
        <v>59.054795696198468</v>
      </c>
      <c r="AU58" s="162">
        <v>41.753022470943016</v>
      </c>
      <c r="AV58" s="163">
        <v>1663.7066097116665</v>
      </c>
      <c r="AW58" s="164">
        <v>2330.2499687959903</v>
      </c>
      <c r="AX58" s="165">
        <v>0.94499999999999995</v>
      </c>
      <c r="AY58" s="166">
        <v>0</v>
      </c>
      <c r="AZ58" s="164">
        <v>1375.2212389380531</v>
      </c>
      <c r="BA58" s="160">
        <v>11971.431008989712</v>
      </c>
      <c r="BB58" s="160">
        <v>7150</v>
      </c>
      <c r="BC58" s="162">
        <v>210</v>
      </c>
      <c r="BD58" s="167"/>
    </row>
    <row r="59" spans="1:56" x14ac:dyDescent="0.2">
      <c r="A59" s="168">
        <v>63</v>
      </c>
      <c r="B59" s="169" t="s">
        <v>78</v>
      </c>
      <c r="C59" s="170">
        <v>6026700</v>
      </c>
      <c r="D59" s="104">
        <v>1395600</v>
      </c>
      <c r="E59" s="104">
        <v>364700</v>
      </c>
      <c r="F59" s="104">
        <v>372700</v>
      </c>
      <c r="I59" s="104">
        <v>0</v>
      </c>
      <c r="J59" s="104">
        <v>0</v>
      </c>
      <c r="K59" s="171">
        <v>0</v>
      </c>
      <c r="L59" s="172">
        <v>1.5322528413416445</v>
      </c>
      <c r="M59" s="173">
        <v>1.51</v>
      </c>
      <c r="N59" s="104">
        <v>8382</v>
      </c>
      <c r="O59" s="104">
        <v>8425</v>
      </c>
      <c r="P59" s="104">
        <v>499</v>
      </c>
      <c r="Q59" s="174">
        <v>3132.5596</v>
      </c>
      <c r="R59" s="175">
        <v>977</v>
      </c>
      <c r="S59" s="176">
        <v>40</v>
      </c>
      <c r="T59" s="182">
        <v>417464.2</v>
      </c>
      <c r="U59" s="195">
        <v>208893.6</v>
      </c>
      <c r="V59" s="198">
        <v>54451.9</v>
      </c>
      <c r="W59" s="182">
        <v>1409734.9</v>
      </c>
      <c r="X59" s="195">
        <v>37391.5</v>
      </c>
      <c r="Y59" s="195">
        <v>246268.79999999999</v>
      </c>
      <c r="Z59" s="198">
        <v>8369</v>
      </c>
      <c r="AA59" s="181">
        <v>656596.85</v>
      </c>
      <c r="AB59" s="195">
        <v>1411.6740788964721</v>
      </c>
      <c r="AC59" s="195">
        <v>43.243804183567953</v>
      </c>
      <c r="AD59" s="195">
        <v>92.691541398234321</v>
      </c>
      <c r="AE59" s="195">
        <v>90.128785763395186</v>
      </c>
      <c r="AF59" s="195">
        <v>47.748190567088201</v>
      </c>
      <c r="AG59" s="195">
        <v>25.06035154696572</v>
      </c>
      <c r="AH59" s="181">
        <v>1710.5467523557234</v>
      </c>
      <c r="AI59" s="195">
        <v>1414.9608234024618</v>
      </c>
      <c r="AJ59" s="195">
        <v>38.038393669634033</v>
      </c>
      <c r="AK59" s="195">
        <v>104.60808308605341</v>
      </c>
      <c r="AL59" s="195">
        <v>79.597964696141474</v>
      </c>
      <c r="AM59" s="195">
        <v>66.316114737883296</v>
      </c>
      <c r="AN59" s="195">
        <v>42.515260138476755</v>
      </c>
      <c r="AO59" s="181">
        <v>1746.0366397306507</v>
      </c>
      <c r="AP59" s="177">
        <v>1413.3174511494669</v>
      </c>
      <c r="AQ59" s="178">
        <v>40.641098926600989</v>
      </c>
      <c r="AR59" s="179">
        <v>98.649812242143867</v>
      </c>
      <c r="AS59" s="179">
        <v>84.863375229768337</v>
      </c>
      <c r="AT59" s="178">
        <v>57.032152652485749</v>
      </c>
      <c r="AU59" s="180">
        <v>33.787805842721241</v>
      </c>
      <c r="AV59" s="181">
        <v>1728.2916960431871</v>
      </c>
      <c r="AW59" s="182">
        <v>2330.2499687959903</v>
      </c>
      <c r="AX59" s="183">
        <v>0.94499999999999995</v>
      </c>
      <c r="AY59" s="184">
        <v>0</v>
      </c>
      <c r="AZ59" s="182">
        <v>1375.2212389380531</v>
      </c>
      <c r="BA59" s="178">
        <v>11971.431008989712</v>
      </c>
      <c r="BB59" s="178">
        <v>7150</v>
      </c>
      <c r="BC59" s="180">
        <v>210</v>
      </c>
      <c r="BD59" s="185"/>
    </row>
    <row r="60" spans="1:56" x14ac:dyDescent="0.2">
      <c r="A60" s="148">
        <v>64</v>
      </c>
      <c r="B60" s="149" t="s">
        <v>79</v>
      </c>
      <c r="C60" s="150">
        <v>529700</v>
      </c>
      <c r="D60" s="151">
        <v>0</v>
      </c>
      <c r="E60" s="151">
        <v>0</v>
      </c>
      <c r="F60" s="151">
        <v>4200</v>
      </c>
      <c r="G60" s="152"/>
      <c r="H60" s="152"/>
      <c r="I60" s="151">
        <v>0</v>
      </c>
      <c r="J60" s="151">
        <v>0</v>
      </c>
      <c r="K60" s="153">
        <v>0</v>
      </c>
      <c r="L60" s="154">
        <v>1.4</v>
      </c>
      <c r="M60" s="155">
        <v>1.4</v>
      </c>
      <c r="N60" s="151">
        <v>1924</v>
      </c>
      <c r="O60" s="151">
        <v>1949</v>
      </c>
      <c r="P60" s="151">
        <v>98</v>
      </c>
      <c r="Q60" s="156">
        <v>353.17579999999998</v>
      </c>
      <c r="R60" s="157">
        <v>185</v>
      </c>
      <c r="S60" s="158">
        <v>5</v>
      </c>
      <c r="T60" s="164">
        <v>71540</v>
      </c>
      <c r="U60" s="196">
        <v>0</v>
      </c>
      <c r="V60" s="197">
        <v>0</v>
      </c>
      <c r="W60" s="164">
        <v>141931.35</v>
      </c>
      <c r="X60" s="196">
        <v>0</v>
      </c>
      <c r="Y60" s="196">
        <v>29293.7</v>
      </c>
      <c r="Z60" s="197">
        <v>1807.05</v>
      </c>
      <c r="AA60" s="163">
        <v>79587.5</v>
      </c>
      <c r="AB60" s="196">
        <v>1738.4570148270204</v>
      </c>
      <c r="AC60" s="196">
        <v>53.888721413721427</v>
      </c>
      <c r="AD60" s="196">
        <v>64.59021136521136</v>
      </c>
      <c r="AE60" s="196">
        <v>74.452311181969776</v>
      </c>
      <c r="AF60" s="196">
        <v>35.775294525294527</v>
      </c>
      <c r="AG60" s="196">
        <v>33.650623700623697</v>
      </c>
      <c r="AH60" s="163">
        <v>2000.8141770138413</v>
      </c>
      <c r="AI60" s="196">
        <v>1759.7651290841152</v>
      </c>
      <c r="AJ60" s="196">
        <v>57.432666324610921</v>
      </c>
      <c r="AK60" s="196">
        <v>61.500102616726522</v>
      </c>
      <c r="AL60" s="196">
        <v>74.511291233616674</v>
      </c>
      <c r="AM60" s="196">
        <v>43.308072515820079</v>
      </c>
      <c r="AN60" s="196">
        <v>18.238994356080038</v>
      </c>
      <c r="AO60" s="163">
        <v>2014.7562561309694</v>
      </c>
      <c r="AP60" s="159">
        <v>1749.1110719555677</v>
      </c>
      <c r="AQ60" s="160">
        <v>55.660693869166174</v>
      </c>
      <c r="AR60" s="161">
        <v>63.045156990968941</v>
      </c>
      <c r="AS60" s="161">
        <v>74.481801207793225</v>
      </c>
      <c r="AT60" s="160">
        <v>39.541683520557299</v>
      </c>
      <c r="AU60" s="162">
        <v>25.94480902835187</v>
      </c>
      <c r="AV60" s="163">
        <v>2007.7852165724053</v>
      </c>
      <c r="AW60" s="164">
        <v>2330.2499687959903</v>
      </c>
      <c r="AX60" s="165">
        <v>0.94499999999999995</v>
      </c>
      <c r="AY60" s="166">
        <v>0</v>
      </c>
      <c r="AZ60" s="164">
        <v>1375.2212389380531</v>
      </c>
      <c r="BA60" s="160">
        <v>11971.431008989712</v>
      </c>
      <c r="BB60" s="160">
        <v>7150</v>
      </c>
      <c r="BC60" s="162">
        <v>210</v>
      </c>
      <c r="BD60" s="167"/>
    </row>
    <row r="61" spans="1:56" x14ac:dyDescent="0.2">
      <c r="A61" s="168">
        <v>65</v>
      </c>
      <c r="B61" s="169" t="s">
        <v>80</v>
      </c>
      <c r="C61" s="170">
        <v>1425700</v>
      </c>
      <c r="D61" s="104">
        <v>773100</v>
      </c>
      <c r="E61" s="104">
        <v>522600</v>
      </c>
      <c r="F61" s="104">
        <v>175500</v>
      </c>
      <c r="I61" s="104">
        <v>0</v>
      </c>
      <c r="J61" s="104">
        <v>0</v>
      </c>
      <c r="K61" s="171">
        <v>0</v>
      </c>
      <c r="L61" s="172">
        <v>1.53</v>
      </c>
      <c r="M61" s="173">
        <v>1.53</v>
      </c>
      <c r="N61" s="104">
        <v>1330</v>
      </c>
      <c r="O61" s="104">
        <v>1319</v>
      </c>
      <c r="P61" s="104">
        <v>56</v>
      </c>
      <c r="Q61" s="174">
        <v>893.70439999999996</v>
      </c>
      <c r="R61" s="175">
        <v>192</v>
      </c>
      <c r="S61" s="176">
        <v>6</v>
      </c>
      <c r="T61" s="182">
        <v>322585.25</v>
      </c>
      <c r="U61" s="195">
        <v>0</v>
      </c>
      <c r="V61" s="198">
        <v>43.7</v>
      </c>
      <c r="W61" s="182">
        <v>172393.45</v>
      </c>
      <c r="X61" s="195">
        <v>6507.5</v>
      </c>
      <c r="Y61" s="195">
        <v>1670.35</v>
      </c>
      <c r="Z61" s="198">
        <v>1330</v>
      </c>
      <c r="AA61" s="181">
        <v>119381.25</v>
      </c>
      <c r="AB61" s="195">
        <v>1249.7402520775624</v>
      </c>
      <c r="AC61" s="195">
        <v>23.131077694235589</v>
      </c>
      <c r="AD61" s="195">
        <v>44.013609022556388</v>
      </c>
      <c r="AE61" s="195">
        <v>71.327190924063515</v>
      </c>
      <c r="AF61" s="195">
        <v>43.008320802005017</v>
      </c>
      <c r="AG61" s="195">
        <v>39.587518796992484</v>
      </c>
      <c r="AH61" s="181">
        <v>1470.8079693174154</v>
      </c>
      <c r="AI61" s="195">
        <v>1313.121300396391</v>
      </c>
      <c r="AJ61" s="195">
        <v>38.612736921910532</v>
      </c>
      <c r="AK61" s="195">
        <v>44.975562294667675</v>
      </c>
      <c r="AL61" s="195">
        <v>72.656058576719474</v>
      </c>
      <c r="AM61" s="195">
        <v>35.672453879201413</v>
      </c>
      <c r="AN61" s="195">
        <v>22.403032600454893</v>
      </c>
      <c r="AO61" s="181">
        <v>1527.441144669345</v>
      </c>
      <c r="AP61" s="177">
        <v>1281.4307762369767</v>
      </c>
      <c r="AQ61" s="178">
        <v>30.871907308073062</v>
      </c>
      <c r="AR61" s="179">
        <v>44.494585658612031</v>
      </c>
      <c r="AS61" s="179">
        <v>71.991624750391495</v>
      </c>
      <c r="AT61" s="178">
        <v>39.340387340603215</v>
      </c>
      <c r="AU61" s="180">
        <v>30.995275698723688</v>
      </c>
      <c r="AV61" s="181">
        <v>1499.1245569933803</v>
      </c>
      <c r="AW61" s="182">
        <v>2330.2499687959903</v>
      </c>
      <c r="AX61" s="183">
        <v>0.94499999999999995</v>
      </c>
      <c r="AY61" s="184">
        <v>0</v>
      </c>
      <c r="AZ61" s="182">
        <v>1375.2212389380531</v>
      </c>
      <c r="BA61" s="178">
        <v>11971.431008989712</v>
      </c>
      <c r="BB61" s="178">
        <v>7150</v>
      </c>
      <c r="BC61" s="180">
        <v>210</v>
      </c>
      <c r="BD61" s="185"/>
    </row>
    <row r="62" spans="1:56" x14ac:dyDescent="0.2">
      <c r="A62" s="148">
        <v>66</v>
      </c>
      <c r="B62" s="149" t="s">
        <v>81</v>
      </c>
      <c r="C62" s="150">
        <v>5122400</v>
      </c>
      <c r="D62" s="151">
        <v>2673100</v>
      </c>
      <c r="E62" s="151">
        <v>649700</v>
      </c>
      <c r="F62" s="151">
        <v>30500</v>
      </c>
      <c r="G62" s="152"/>
      <c r="H62" s="152"/>
      <c r="I62" s="151">
        <v>0</v>
      </c>
      <c r="J62" s="151">
        <v>0</v>
      </c>
      <c r="K62" s="153">
        <v>0</v>
      </c>
      <c r="L62" s="154">
        <v>1.42</v>
      </c>
      <c r="M62" s="155">
        <v>1.45</v>
      </c>
      <c r="N62" s="151">
        <v>4048</v>
      </c>
      <c r="O62" s="151">
        <v>4036</v>
      </c>
      <c r="P62" s="151">
        <v>161</v>
      </c>
      <c r="Q62" s="156">
        <v>2958.2659999999996</v>
      </c>
      <c r="R62" s="157">
        <v>509</v>
      </c>
      <c r="S62" s="158">
        <v>17</v>
      </c>
      <c r="T62" s="164">
        <v>0</v>
      </c>
      <c r="U62" s="196">
        <v>58118.43</v>
      </c>
      <c r="V62" s="197">
        <v>19640.099999999999</v>
      </c>
      <c r="W62" s="164">
        <v>609406.6</v>
      </c>
      <c r="X62" s="196">
        <v>24550.65</v>
      </c>
      <c r="Y62" s="196">
        <v>117492.25</v>
      </c>
      <c r="Z62" s="197">
        <v>46791.15</v>
      </c>
      <c r="AA62" s="163">
        <v>278556.25</v>
      </c>
      <c r="AB62" s="196">
        <v>1133.0784508640672</v>
      </c>
      <c r="AC62" s="196">
        <v>22.693453557312246</v>
      </c>
      <c r="AD62" s="196">
        <v>27.541312582345192</v>
      </c>
      <c r="AE62" s="196">
        <v>70.592799912089291</v>
      </c>
      <c r="AF62" s="196">
        <v>43.481060606060609</v>
      </c>
      <c r="AG62" s="196">
        <v>18.111544795783928</v>
      </c>
      <c r="AH62" s="163">
        <v>1315.4986223176584</v>
      </c>
      <c r="AI62" s="196">
        <v>1156.0703187761601</v>
      </c>
      <c r="AJ62" s="196">
        <v>22.173538156590688</v>
      </c>
      <c r="AK62" s="196">
        <v>28.173488602576811</v>
      </c>
      <c r="AL62" s="196">
        <v>71.630677034213903</v>
      </c>
      <c r="AM62" s="196">
        <v>36.676701354476378</v>
      </c>
      <c r="AN62" s="196">
        <v>23.767046580773044</v>
      </c>
      <c r="AO62" s="163">
        <v>1338.4917705047908</v>
      </c>
      <c r="AP62" s="159">
        <v>1144.5743848201137</v>
      </c>
      <c r="AQ62" s="160">
        <v>22.433495856951467</v>
      </c>
      <c r="AR62" s="161">
        <v>27.857400592461001</v>
      </c>
      <c r="AS62" s="161">
        <v>71.111738473151604</v>
      </c>
      <c r="AT62" s="160">
        <v>40.078880980268494</v>
      </c>
      <c r="AU62" s="162">
        <v>20.939295688278484</v>
      </c>
      <c r="AV62" s="163">
        <v>1326.9951964112247</v>
      </c>
      <c r="AW62" s="164">
        <v>2330.2499687959903</v>
      </c>
      <c r="AX62" s="165">
        <v>0.94499999999999995</v>
      </c>
      <c r="AY62" s="166">
        <v>0</v>
      </c>
      <c r="AZ62" s="164">
        <v>1375.2212389380531</v>
      </c>
      <c r="BA62" s="160">
        <v>11971.431008989712</v>
      </c>
      <c r="BB62" s="160">
        <v>7150</v>
      </c>
      <c r="BC62" s="162">
        <v>210</v>
      </c>
      <c r="BD62" s="167"/>
    </row>
    <row r="63" spans="1:56" x14ac:dyDescent="0.2">
      <c r="A63" s="168">
        <v>67</v>
      </c>
      <c r="B63" s="169" t="s">
        <v>82</v>
      </c>
      <c r="C63" s="170">
        <v>1185400</v>
      </c>
      <c r="D63" s="104">
        <v>1443000</v>
      </c>
      <c r="E63" s="104">
        <v>215000</v>
      </c>
      <c r="F63" s="104">
        <v>7600</v>
      </c>
      <c r="I63" s="104">
        <v>0</v>
      </c>
      <c r="J63" s="104">
        <v>0</v>
      </c>
      <c r="K63" s="171">
        <v>0</v>
      </c>
      <c r="L63" s="172">
        <v>1.48</v>
      </c>
      <c r="M63" s="173">
        <v>1.48</v>
      </c>
      <c r="N63" s="104">
        <v>925</v>
      </c>
      <c r="O63" s="104">
        <v>924</v>
      </c>
      <c r="P63" s="104">
        <v>47</v>
      </c>
      <c r="Q63" s="174">
        <v>1281.5839999999996</v>
      </c>
      <c r="R63" s="175">
        <v>122</v>
      </c>
      <c r="S63" s="176">
        <v>4</v>
      </c>
      <c r="T63" s="182">
        <v>33670</v>
      </c>
      <c r="U63" s="195">
        <v>10283.9</v>
      </c>
      <c r="V63" s="198">
        <v>0</v>
      </c>
      <c r="W63" s="182">
        <v>141860.17000000001</v>
      </c>
      <c r="X63" s="195">
        <v>0</v>
      </c>
      <c r="Y63" s="195">
        <v>124</v>
      </c>
      <c r="Z63" s="198">
        <v>0</v>
      </c>
      <c r="AA63" s="181">
        <v>39793.75</v>
      </c>
      <c r="AB63" s="195">
        <v>1132.5011981528439</v>
      </c>
      <c r="AC63" s="195">
        <v>11.767567567567568</v>
      </c>
      <c r="AD63" s="195">
        <v>18.290306306306306</v>
      </c>
      <c r="AE63" s="195">
        <v>84.06557932730685</v>
      </c>
      <c r="AF63" s="195">
        <v>50.849477477477471</v>
      </c>
      <c r="AG63" s="195">
        <v>19.883315315315315</v>
      </c>
      <c r="AH63" s="181">
        <v>1317.3574441468172</v>
      </c>
      <c r="AI63" s="195">
        <v>1170.4954243763937</v>
      </c>
      <c r="AJ63" s="195">
        <v>14.240331890331889</v>
      </c>
      <c r="AK63" s="195">
        <v>28.665656565656569</v>
      </c>
      <c r="AL63" s="195">
        <v>85.63178007891652</v>
      </c>
      <c r="AM63" s="195">
        <v>29.331746031746036</v>
      </c>
      <c r="AN63" s="195">
        <v>30.688311688311689</v>
      </c>
      <c r="AO63" s="181">
        <v>1359.0532506313561</v>
      </c>
      <c r="AP63" s="177">
        <v>1151.4983112646187</v>
      </c>
      <c r="AQ63" s="178">
        <v>13.003949728949728</v>
      </c>
      <c r="AR63" s="179">
        <v>23.477981435981437</v>
      </c>
      <c r="AS63" s="179">
        <v>84.848679703111685</v>
      </c>
      <c r="AT63" s="178">
        <v>40.090611754611757</v>
      </c>
      <c r="AU63" s="180">
        <v>25.2858135018135</v>
      </c>
      <c r="AV63" s="181">
        <v>1338.2053473890867</v>
      </c>
      <c r="AW63" s="182">
        <v>2330.2499687959903</v>
      </c>
      <c r="AX63" s="183">
        <v>0.94499999999999995</v>
      </c>
      <c r="AY63" s="184">
        <v>0</v>
      </c>
      <c r="AZ63" s="182">
        <v>1375.2212389380531</v>
      </c>
      <c r="BA63" s="178">
        <v>11971.431008989712</v>
      </c>
      <c r="BB63" s="178">
        <v>7150</v>
      </c>
      <c r="BC63" s="180">
        <v>210</v>
      </c>
      <c r="BD63" s="185"/>
    </row>
    <row r="64" spans="1:56" x14ac:dyDescent="0.2">
      <c r="A64" s="148">
        <v>70</v>
      </c>
      <c r="B64" s="149" t="s">
        <v>83</v>
      </c>
      <c r="C64" s="150">
        <v>2657900</v>
      </c>
      <c r="D64" s="151">
        <v>1241200</v>
      </c>
      <c r="E64" s="151">
        <v>642700</v>
      </c>
      <c r="F64" s="151">
        <v>69200</v>
      </c>
      <c r="G64" s="152"/>
      <c r="H64" s="152"/>
      <c r="I64" s="151">
        <v>0</v>
      </c>
      <c r="J64" s="151">
        <v>0</v>
      </c>
      <c r="K64" s="153">
        <v>0</v>
      </c>
      <c r="L64" s="154">
        <v>1.4810108104810364</v>
      </c>
      <c r="M64" s="155">
        <v>1.4</v>
      </c>
      <c r="N64" s="151">
        <v>4540</v>
      </c>
      <c r="O64" s="151">
        <v>4541</v>
      </c>
      <c r="P64" s="151">
        <v>255</v>
      </c>
      <c r="Q64" s="156">
        <v>2044.0154000000002</v>
      </c>
      <c r="R64" s="157">
        <v>563</v>
      </c>
      <c r="S64" s="158">
        <v>23</v>
      </c>
      <c r="T64" s="164">
        <v>190596.3</v>
      </c>
      <c r="U64" s="196">
        <v>0</v>
      </c>
      <c r="V64" s="197">
        <v>0</v>
      </c>
      <c r="W64" s="164">
        <v>413123.93</v>
      </c>
      <c r="X64" s="196">
        <v>3242</v>
      </c>
      <c r="Y64" s="196">
        <v>70197.850000000006</v>
      </c>
      <c r="Z64" s="197">
        <v>4528</v>
      </c>
      <c r="AA64" s="163">
        <v>368092.14999999997</v>
      </c>
      <c r="AB64" s="196">
        <v>1471.1887670544634</v>
      </c>
      <c r="AC64" s="196">
        <v>37.986138032305426</v>
      </c>
      <c r="AD64" s="196">
        <v>114.36339941262848</v>
      </c>
      <c r="AE64" s="196">
        <v>73.331232438647902</v>
      </c>
      <c r="AF64" s="196">
        <v>38.634361233480178</v>
      </c>
      <c r="AG64" s="196">
        <v>79.715741556534496</v>
      </c>
      <c r="AH64" s="163">
        <v>1815.21963972806</v>
      </c>
      <c r="AI64" s="196">
        <v>1491.9269595676139</v>
      </c>
      <c r="AJ64" s="196">
        <v>24.309190339866397</v>
      </c>
      <c r="AK64" s="196">
        <v>95.624627468252214</v>
      </c>
      <c r="AL64" s="196">
        <v>74.697757058863871</v>
      </c>
      <c r="AM64" s="196">
        <v>38.214783821478385</v>
      </c>
      <c r="AN64" s="196">
        <v>57.015282977317767</v>
      </c>
      <c r="AO64" s="163">
        <v>1781.7886012333925</v>
      </c>
      <c r="AP64" s="159">
        <v>1481.5578633110385</v>
      </c>
      <c r="AQ64" s="160">
        <v>31.147664186085912</v>
      </c>
      <c r="AR64" s="161">
        <v>104.99401344044034</v>
      </c>
      <c r="AS64" s="161">
        <v>74.01449474875588</v>
      </c>
      <c r="AT64" s="160">
        <v>38.424572527479285</v>
      </c>
      <c r="AU64" s="162">
        <v>68.365512266926132</v>
      </c>
      <c r="AV64" s="163">
        <v>1798.504120480726</v>
      </c>
      <c r="AW64" s="164">
        <v>2330.2499687959903</v>
      </c>
      <c r="AX64" s="165">
        <v>0.94499999999999995</v>
      </c>
      <c r="AY64" s="166">
        <v>0</v>
      </c>
      <c r="AZ64" s="164">
        <v>1375.2212389380531</v>
      </c>
      <c r="BA64" s="160">
        <v>11971.431008989712</v>
      </c>
      <c r="BB64" s="160">
        <v>7150</v>
      </c>
      <c r="BC64" s="162">
        <v>210</v>
      </c>
      <c r="BD64" s="167"/>
    </row>
    <row r="65" spans="1:56" x14ac:dyDescent="0.2">
      <c r="A65" s="168">
        <v>71</v>
      </c>
      <c r="B65" s="169" t="s">
        <v>84</v>
      </c>
      <c r="C65" s="170">
        <v>926600</v>
      </c>
      <c r="D65" s="104">
        <v>767500</v>
      </c>
      <c r="E65" s="104">
        <v>310900</v>
      </c>
      <c r="F65" s="104">
        <v>46100</v>
      </c>
      <c r="I65" s="104">
        <v>0</v>
      </c>
      <c r="J65" s="104">
        <v>0</v>
      </c>
      <c r="K65" s="171">
        <v>0</v>
      </c>
      <c r="L65" s="172">
        <v>1.39</v>
      </c>
      <c r="M65" s="173">
        <v>1.39</v>
      </c>
      <c r="N65" s="104">
        <v>1427</v>
      </c>
      <c r="O65" s="104">
        <v>1443</v>
      </c>
      <c r="P65" s="104">
        <v>40</v>
      </c>
      <c r="Q65" s="174">
        <v>920.82500000000016</v>
      </c>
      <c r="R65" s="175">
        <v>188</v>
      </c>
      <c r="S65" s="176">
        <v>7</v>
      </c>
      <c r="T65" s="182">
        <v>107802.4</v>
      </c>
      <c r="U65" s="195">
        <v>10254.049999999999</v>
      </c>
      <c r="V65" s="198">
        <v>15992.25</v>
      </c>
      <c r="W65" s="182">
        <v>136251.05000000002</v>
      </c>
      <c r="X65" s="195">
        <v>0</v>
      </c>
      <c r="Y65" s="195">
        <v>10644.26</v>
      </c>
      <c r="Z65" s="198">
        <v>0</v>
      </c>
      <c r="AA65" s="181">
        <v>79587.5</v>
      </c>
      <c r="AB65" s="195">
        <v>1462.1754419838942</v>
      </c>
      <c r="AC65" s="195">
        <v>76.506704041111888</v>
      </c>
      <c r="AD65" s="195">
        <v>73.819691660826905</v>
      </c>
      <c r="AE65" s="195">
        <v>81.692352625208116</v>
      </c>
      <c r="AF65" s="195">
        <v>18.207615043214201</v>
      </c>
      <c r="AG65" s="195">
        <v>24.829409016584915</v>
      </c>
      <c r="AH65" s="181">
        <v>1737.23121437084</v>
      </c>
      <c r="AI65" s="195">
        <v>1366.2959529167308</v>
      </c>
      <c r="AJ65" s="195">
        <v>64.988704088704111</v>
      </c>
      <c r="AK65" s="195">
        <v>134.97401247401248</v>
      </c>
      <c r="AL65" s="195">
        <v>78.186643851457845</v>
      </c>
      <c r="AM65" s="195">
        <v>65.751189651189662</v>
      </c>
      <c r="AN65" s="195">
        <v>34.825017325017328</v>
      </c>
      <c r="AO65" s="181">
        <v>1745.021520307112</v>
      </c>
      <c r="AP65" s="177">
        <v>1414.2356974503125</v>
      </c>
      <c r="AQ65" s="178">
        <v>70.747704064907992</v>
      </c>
      <c r="AR65" s="179">
        <v>104.3968520674197</v>
      </c>
      <c r="AS65" s="179">
        <v>79.939498238332988</v>
      </c>
      <c r="AT65" s="178">
        <v>41.979402347201933</v>
      </c>
      <c r="AU65" s="180">
        <v>29.827213170801123</v>
      </c>
      <c r="AV65" s="181">
        <v>1741.1263673389765</v>
      </c>
      <c r="AW65" s="182">
        <v>2330.2499687959903</v>
      </c>
      <c r="AX65" s="183">
        <v>0.94499999999999995</v>
      </c>
      <c r="AY65" s="184">
        <v>0</v>
      </c>
      <c r="AZ65" s="182">
        <v>1375.2212389380531</v>
      </c>
      <c r="BA65" s="178">
        <v>11971.431008989712</v>
      </c>
      <c r="BB65" s="178">
        <v>7150</v>
      </c>
      <c r="BC65" s="180">
        <v>210</v>
      </c>
      <c r="BD65" s="185"/>
    </row>
    <row r="66" spans="1:56" x14ac:dyDescent="0.2">
      <c r="A66" s="148">
        <v>72</v>
      </c>
      <c r="B66" s="149" t="s">
        <v>85</v>
      </c>
      <c r="C66" s="150">
        <v>3682000</v>
      </c>
      <c r="D66" s="151">
        <v>2125100</v>
      </c>
      <c r="E66" s="151">
        <v>1269400</v>
      </c>
      <c r="F66" s="151">
        <v>109000</v>
      </c>
      <c r="G66" s="152"/>
      <c r="H66" s="152"/>
      <c r="I66" s="151">
        <v>0</v>
      </c>
      <c r="J66" s="151">
        <v>0</v>
      </c>
      <c r="K66" s="153">
        <v>0</v>
      </c>
      <c r="L66" s="154">
        <v>1.45</v>
      </c>
      <c r="M66" s="155">
        <v>1.45</v>
      </c>
      <c r="N66" s="151">
        <v>2840</v>
      </c>
      <c r="O66" s="151">
        <v>2829</v>
      </c>
      <c r="P66" s="151">
        <v>145</v>
      </c>
      <c r="Q66" s="156">
        <v>2256.3689999999992</v>
      </c>
      <c r="R66" s="157">
        <v>427</v>
      </c>
      <c r="S66" s="158">
        <v>4</v>
      </c>
      <c r="T66" s="164">
        <v>77799.75</v>
      </c>
      <c r="U66" s="196">
        <v>4535.3999999999996</v>
      </c>
      <c r="V66" s="197">
        <v>46221.15</v>
      </c>
      <c r="W66" s="164">
        <v>343167.5</v>
      </c>
      <c r="X66" s="196">
        <v>0</v>
      </c>
      <c r="Y66" s="196">
        <v>29894.25</v>
      </c>
      <c r="Z66" s="197">
        <v>0</v>
      </c>
      <c r="AA66" s="163">
        <v>298453.10000000003</v>
      </c>
      <c r="AB66" s="196">
        <v>1153.3419316823902</v>
      </c>
      <c r="AC66" s="196">
        <v>17.600223004694836</v>
      </c>
      <c r="AD66" s="196">
        <v>29.723814553990611</v>
      </c>
      <c r="AE66" s="196">
        <v>65.316939753303373</v>
      </c>
      <c r="AF66" s="196">
        <v>18.716478873239435</v>
      </c>
      <c r="AG66" s="196">
        <v>9.1831455399061017</v>
      </c>
      <c r="AH66" s="163">
        <v>1293.8825334075243</v>
      </c>
      <c r="AI66" s="196">
        <v>1205.7275796245958</v>
      </c>
      <c r="AJ66" s="196">
        <v>12.353434664781432</v>
      </c>
      <c r="AK66" s="196">
        <v>29.167939201131137</v>
      </c>
      <c r="AL66" s="196">
        <v>66.403164145948807</v>
      </c>
      <c r="AM66" s="196">
        <v>17.707753034052082</v>
      </c>
      <c r="AN66" s="196">
        <v>1.105266878755744</v>
      </c>
      <c r="AO66" s="163">
        <v>1332.4651375492649</v>
      </c>
      <c r="AP66" s="159">
        <v>1179.534755653493</v>
      </c>
      <c r="AQ66" s="160">
        <v>14.976828834738134</v>
      </c>
      <c r="AR66" s="161">
        <v>29.445876877560874</v>
      </c>
      <c r="AS66" s="161">
        <v>65.860051949626097</v>
      </c>
      <c r="AT66" s="160">
        <v>18.212115953645757</v>
      </c>
      <c r="AU66" s="162">
        <v>5.1442062093309229</v>
      </c>
      <c r="AV66" s="163">
        <v>1313.1738354783947</v>
      </c>
      <c r="AW66" s="164">
        <v>2330.2499687959903</v>
      </c>
      <c r="AX66" s="165">
        <v>0.94499999999999995</v>
      </c>
      <c r="AY66" s="166">
        <v>0</v>
      </c>
      <c r="AZ66" s="164">
        <v>1375.2212389380531</v>
      </c>
      <c r="BA66" s="160">
        <v>11971.431008989712</v>
      </c>
      <c r="BB66" s="160">
        <v>7150</v>
      </c>
      <c r="BC66" s="162">
        <v>210</v>
      </c>
      <c r="BD66" s="167"/>
    </row>
    <row r="67" spans="1:56" x14ac:dyDescent="0.2">
      <c r="A67" s="168">
        <v>73</v>
      </c>
      <c r="B67" s="169" t="s">
        <v>86</v>
      </c>
      <c r="C67" s="170">
        <v>4725500</v>
      </c>
      <c r="D67" s="104">
        <v>2521800</v>
      </c>
      <c r="E67" s="104">
        <v>1833200</v>
      </c>
      <c r="F67" s="104">
        <v>138100</v>
      </c>
      <c r="I67" s="104">
        <v>0</v>
      </c>
      <c r="J67" s="104">
        <v>0</v>
      </c>
      <c r="K67" s="171">
        <v>0</v>
      </c>
      <c r="L67" s="172">
        <v>1.45</v>
      </c>
      <c r="M67" s="173">
        <v>1.45</v>
      </c>
      <c r="N67" s="104">
        <v>8416</v>
      </c>
      <c r="O67" s="104">
        <v>8522</v>
      </c>
      <c r="P67" s="104">
        <v>338</v>
      </c>
      <c r="Q67" s="174">
        <v>3975.8771999999999</v>
      </c>
      <c r="R67" s="175">
        <v>1120</v>
      </c>
      <c r="S67" s="176">
        <v>22</v>
      </c>
      <c r="T67" s="182">
        <v>30089.55</v>
      </c>
      <c r="U67" s="195">
        <v>35994.85</v>
      </c>
      <c r="V67" s="198">
        <v>66598.75</v>
      </c>
      <c r="W67" s="182">
        <v>1453293.3</v>
      </c>
      <c r="X67" s="195">
        <v>40578.15</v>
      </c>
      <c r="Y67" s="195">
        <v>196000.65</v>
      </c>
      <c r="Z67" s="198">
        <v>48172.1</v>
      </c>
      <c r="AA67" s="181">
        <v>656596.85</v>
      </c>
      <c r="AB67" s="195">
        <v>1371.8001930043895</v>
      </c>
      <c r="AC67" s="195">
        <v>75.173641476552589</v>
      </c>
      <c r="AD67" s="195">
        <v>188.13702075411913</v>
      </c>
      <c r="AE67" s="195">
        <v>95.289357425347873</v>
      </c>
      <c r="AF67" s="195">
        <v>35.87124920785805</v>
      </c>
      <c r="AG67" s="195">
        <v>35.039935836501904</v>
      </c>
      <c r="AH67" s="181">
        <v>1801.3113977047688</v>
      </c>
      <c r="AI67" s="195">
        <v>1404.3231200200844</v>
      </c>
      <c r="AJ67" s="195">
        <v>81.057443479621398</v>
      </c>
      <c r="AK67" s="195">
        <v>148.4535750606274</v>
      </c>
      <c r="AL67" s="195">
        <v>94.810722572037108</v>
      </c>
      <c r="AM67" s="195">
        <v>54.142912461863411</v>
      </c>
      <c r="AN67" s="195">
        <v>50.116091684268163</v>
      </c>
      <c r="AO67" s="181">
        <v>1832.9038652785021</v>
      </c>
      <c r="AP67" s="177">
        <v>1388.0616565122368</v>
      </c>
      <c r="AQ67" s="178">
        <v>78.115542478086994</v>
      </c>
      <c r="AR67" s="179">
        <v>168.29529790737325</v>
      </c>
      <c r="AS67" s="179">
        <v>95.050039998692483</v>
      </c>
      <c r="AT67" s="178">
        <v>45.00708083486073</v>
      </c>
      <c r="AU67" s="180">
        <v>42.578013760385033</v>
      </c>
      <c r="AV67" s="181">
        <v>1817.1076314916354</v>
      </c>
      <c r="AW67" s="182">
        <v>2330.2499687959903</v>
      </c>
      <c r="AX67" s="183">
        <v>0.94499999999999995</v>
      </c>
      <c r="AY67" s="184">
        <v>0</v>
      </c>
      <c r="AZ67" s="182">
        <v>1375.2212389380531</v>
      </c>
      <c r="BA67" s="178">
        <v>11971.431008989712</v>
      </c>
      <c r="BB67" s="178">
        <v>7150</v>
      </c>
      <c r="BC67" s="180">
        <v>210</v>
      </c>
      <c r="BD67" s="185"/>
    </row>
    <row r="68" spans="1:56" x14ac:dyDescent="0.2">
      <c r="A68" s="148">
        <v>76</v>
      </c>
      <c r="B68" s="149" t="s">
        <v>87</v>
      </c>
      <c r="C68" s="150">
        <v>0</v>
      </c>
      <c r="D68" s="151">
        <v>76200</v>
      </c>
      <c r="E68" s="151">
        <v>1579800</v>
      </c>
      <c r="F68" s="151">
        <v>0</v>
      </c>
      <c r="G68" s="152"/>
      <c r="H68" s="152"/>
      <c r="I68" s="151">
        <v>0</v>
      </c>
      <c r="J68" s="151">
        <v>0</v>
      </c>
      <c r="K68" s="153">
        <v>0</v>
      </c>
      <c r="L68" s="154">
        <v>1.42</v>
      </c>
      <c r="M68" s="155">
        <v>1.45</v>
      </c>
      <c r="N68" s="151">
        <v>3720</v>
      </c>
      <c r="O68" s="151">
        <v>3736</v>
      </c>
      <c r="P68" s="151">
        <v>87</v>
      </c>
      <c r="Q68" s="156">
        <v>997.13</v>
      </c>
      <c r="R68" s="157">
        <v>562</v>
      </c>
      <c r="S68" s="158">
        <v>9</v>
      </c>
      <c r="T68" s="164">
        <v>0</v>
      </c>
      <c r="U68" s="196">
        <v>909</v>
      </c>
      <c r="V68" s="197">
        <v>0</v>
      </c>
      <c r="W68" s="164">
        <v>103669</v>
      </c>
      <c r="X68" s="196">
        <v>0</v>
      </c>
      <c r="Y68" s="196">
        <v>54160.55</v>
      </c>
      <c r="Z68" s="197">
        <v>600</v>
      </c>
      <c r="AA68" s="163">
        <v>159175</v>
      </c>
      <c r="AB68" s="196">
        <v>1676.8432282494455</v>
      </c>
      <c r="AC68" s="196">
        <v>44.839193548387101</v>
      </c>
      <c r="AD68" s="196">
        <v>142.43661290322581</v>
      </c>
      <c r="AE68" s="196">
        <v>102.30319652077895</v>
      </c>
      <c r="AF68" s="196">
        <v>91.256756272401446</v>
      </c>
      <c r="AG68" s="196">
        <v>35.808225806451617</v>
      </c>
      <c r="AH68" s="163">
        <v>2093.4872133006902</v>
      </c>
      <c r="AI68" s="196">
        <v>1807.2939946347806</v>
      </c>
      <c r="AJ68" s="196">
        <v>43.229193433261955</v>
      </c>
      <c r="AK68" s="196">
        <v>165.23141506067094</v>
      </c>
      <c r="AL68" s="196">
        <v>110.71000075231993</v>
      </c>
      <c r="AM68" s="196">
        <v>63.763195931477519</v>
      </c>
      <c r="AN68" s="196">
        <v>218.81088508208424</v>
      </c>
      <c r="AO68" s="163">
        <v>2409.038684894595</v>
      </c>
      <c r="AP68" s="159">
        <v>1742.068611442113</v>
      </c>
      <c r="AQ68" s="160">
        <v>44.034193490824528</v>
      </c>
      <c r="AR68" s="161">
        <v>153.83401398194837</v>
      </c>
      <c r="AS68" s="161">
        <v>106.50659863654944</v>
      </c>
      <c r="AT68" s="160">
        <v>77.509976101939486</v>
      </c>
      <c r="AU68" s="162">
        <v>127.30955544426793</v>
      </c>
      <c r="AV68" s="163">
        <v>2251.2629490976428</v>
      </c>
      <c r="AW68" s="164">
        <v>2330.2499687959903</v>
      </c>
      <c r="AX68" s="165">
        <v>0.94499999999999995</v>
      </c>
      <c r="AY68" s="166">
        <v>-4.4663763051015722E-2</v>
      </c>
      <c r="AZ68" s="164">
        <v>1375.2212389380531</v>
      </c>
      <c r="BA68" s="160">
        <v>11971.431008989712</v>
      </c>
      <c r="BB68" s="160">
        <v>7150</v>
      </c>
      <c r="BC68" s="162">
        <v>210</v>
      </c>
      <c r="BD68" s="167"/>
    </row>
    <row r="69" spans="1:56" x14ac:dyDescent="0.2">
      <c r="A69" s="168">
        <v>77</v>
      </c>
      <c r="B69" s="169" t="s">
        <v>88</v>
      </c>
      <c r="C69" s="170">
        <v>346800</v>
      </c>
      <c r="D69" s="104">
        <v>0</v>
      </c>
      <c r="E69" s="104">
        <v>883500</v>
      </c>
      <c r="F69" s="104">
        <v>0</v>
      </c>
      <c r="I69" s="104">
        <v>0</v>
      </c>
      <c r="J69" s="104">
        <v>0</v>
      </c>
      <c r="K69" s="171">
        <v>0</v>
      </c>
      <c r="L69" s="172">
        <v>1.35</v>
      </c>
      <c r="M69" s="173">
        <v>1.35</v>
      </c>
      <c r="N69" s="104">
        <v>6011</v>
      </c>
      <c r="O69" s="104">
        <v>6193</v>
      </c>
      <c r="P69" s="104">
        <v>271</v>
      </c>
      <c r="Q69" s="174">
        <v>1268.3006</v>
      </c>
      <c r="R69" s="175">
        <v>774</v>
      </c>
      <c r="S69" s="176">
        <v>22</v>
      </c>
      <c r="T69" s="182">
        <v>145584.1</v>
      </c>
      <c r="U69" s="195">
        <v>44840.9</v>
      </c>
      <c r="V69" s="198">
        <v>19895.7</v>
      </c>
      <c r="W69" s="182">
        <v>615757.69999999995</v>
      </c>
      <c r="X69" s="195">
        <v>34685.4</v>
      </c>
      <c r="Y69" s="195">
        <v>103402.5</v>
      </c>
      <c r="Z69" s="198">
        <v>32296.6</v>
      </c>
      <c r="AA69" s="181">
        <v>407885.89999999997</v>
      </c>
      <c r="AB69" s="195">
        <v>1752.6096935647763</v>
      </c>
      <c r="AC69" s="195">
        <v>43.151721843287305</v>
      </c>
      <c r="AD69" s="195">
        <v>130.44115233183609</v>
      </c>
      <c r="AE69" s="195">
        <v>84.997339512875456</v>
      </c>
      <c r="AF69" s="195">
        <v>82.713453113735923</v>
      </c>
      <c r="AG69" s="195">
        <v>37.383230743636659</v>
      </c>
      <c r="AH69" s="181">
        <v>2131.2965911101473</v>
      </c>
      <c r="AI69" s="195">
        <v>1802.3167241383949</v>
      </c>
      <c r="AJ69" s="195">
        <v>39.505339361644872</v>
      </c>
      <c r="AK69" s="195">
        <v>126.16012702513591</v>
      </c>
      <c r="AL69" s="195">
        <v>81.717799089901334</v>
      </c>
      <c r="AM69" s="195">
        <v>55.171021045266166</v>
      </c>
      <c r="AN69" s="195">
        <v>84.118009580709398</v>
      </c>
      <c r="AO69" s="181">
        <v>2188.9890202410525</v>
      </c>
      <c r="AP69" s="177">
        <v>1777.4632088515855</v>
      </c>
      <c r="AQ69" s="178">
        <v>41.328530602466088</v>
      </c>
      <c r="AR69" s="179">
        <v>128.30063967848599</v>
      </c>
      <c r="AS69" s="179">
        <v>83.357569301388395</v>
      </c>
      <c r="AT69" s="178">
        <v>68.942237079501041</v>
      </c>
      <c r="AU69" s="180">
        <v>60.750620162173028</v>
      </c>
      <c r="AV69" s="181">
        <v>2160.1428056756004</v>
      </c>
      <c r="AW69" s="182">
        <v>2330.2499687959903</v>
      </c>
      <c r="AX69" s="183">
        <v>0.94499999999999995</v>
      </c>
      <c r="AY69" s="184">
        <v>0</v>
      </c>
      <c r="AZ69" s="182">
        <v>1375.2212389380531</v>
      </c>
      <c r="BA69" s="178">
        <v>11971.431008989712</v>
      </c>
      <c r="BB69" s="178">
        <v>7150</v>
      </c>
      <c r="BC69" s="180">
        <v>210</v>
      </c>
      <c r="BD69" s="185"/>
    </row>
    <row r="70" spans="1:56" x14ac:dyDescent="0.2">
      <c r="A70" s="148">
        <v>78</v>
      </c>
      <c r="B70" s="149" t="s">
        <v>89</v>
      </c>
      <c r="C70" s="150">
        <v>2342100</v>
      </c>
      <c r="D70" s="151">
        <v>0</v>
      </c>
      <c r="E70" s="151">
        <v>1150000</v>
      </c>
      <c r="F70" s="151">
        <v>362100</v>
      </c>
      <c r="G70" s="152"/>
      <c r="H70" s="152"/>
      <c r="I70" s="151">
        <v>0</v>
      </c>
      <c r="J70" s="151">
        <v>0</v>
      </c>
      <c r="K70" s="153">
        <v>0</v>
      </c>
      <c r="L70" s="154">
        <v>1.42</v>
      </c>
      <c r="M70" s="155">
        <v>1.45</v>
      </c>
      <c r="N70" s="151">
        <v>12726</v>
      </c>
      <c r="O70" s="151">
        <v>12698</v>
      </c>
      <c r="P70" s="151">
        <v>502</v>
      </c>
      <c r="Q70" s="156">
        <v>2372.2029999999995</v>
      </c>
      <c r="R70" s="157">
        <v>1530</v>
      </c>
      <c r="S70" s="158">
        <v>48</v>
      </c>
      <c r="T70" s="164">
        <v>402195.4</v>
      </c>
      <c r="U70" s="196">
        <v>91752</v>
      </c>
      <c r="V70" s="197">
        <v>13259.3</v>
      </c>
      <c r="W70" s="164">
        <v>2172782.41</v>
      </c>
      <c r="X70" s="196">
        <v>39453.85</v>
      </c>
      <c r="Y70" s="196">
        <v>256986.45</v>
      </c>
      <c r="Z70" s="197">
        <v>460543.3</v>
      </c>
      <c r="AA70" s="163">
        <v>666545.30000000005</v>
      </c>
      <c r="AB70" s="196">
        <v>1678.6274571149283</v>
      </c>
      <c r="AC70" s="196">
        <v>64.176489077479161</v>
      </c>
      <c r="AD70" s="196">
        <v>132.17982083922678</v>
      </c>
      <c r="AE70" s="196">
        <v>84.212412655418362</v>
      </c>
      <c r="AF70" s="196">
        <v>39.856404211849757</v>
      </c>
      <c r="AG70" s="196">
        <v>31.249688302163555</v>
      </c>
      <c r="AH70" s="163">
        <v>2030.302272201066</v>
      </c>
      <c r="AI70" s="196">
        <v>1745.7990196906799</v>
      </c>
      <c r="AJ70" s="196">
        <v>63.346051871685823</v>
      </c>
      <c r="AK70" s="196">
        <v>147.78812673911901</v>
      </c>
      <c r="AL70" s="196">
        <v>86.841736708843655</v>
      </c>
      <c r="AM70" s="196">
        <v>40.47468892739014</v>
      </c>
      <c r="AN70" s="196">
        <v>35.079996849897618</v>
      </c>
      <c r="AO70" s="163">
        <v>2119.329620787616</v>
      </c>
      <c r="AP70" s="159">
        <v>1712.2132384028041</v>
      </c>
      <c r="AQ70" s="160">
        <v>63.761270474582489</v>
      </c>
      <c r="AR70" s="161">
        <v>139.98397378917289</v>
      </c>
      <c r="AS70" s="161">
        <v>85.527074682131001</v>
      </c>
      <c r="AT70" s="160">
        <v>40.165546569619949</v>
      </c>
      <c r="AU70" s="162">
        <v>33.164842576030587</v>
      </c>
      <c r="AV70" s="163">
        <v>2074.815946494341</v>
      </c>
      <c r="AW70" s="164">
        <v>2330.2499687959903</v>
      </c>
      <c r="AX70" s="165">
        <v>0.94499999999999995</v>
      </c>
      <c r="AY70" s="166">
        <v>0</v>
      </c>
      <c r="AZ70" s="164">
        <v>1375.2212389380531</v>
      </c>
      <c r="BA70" s="160">
        <v>11971.431008989712</v>
      </c>
      <c r="BB70" s="160">
        <v>7150</v>
      </c>
      <c r="BC70" s="162">
        <v>210</v>
      </c>
      <c r="BD70" s="167"/>
    </row>
    <row r="71" spans="1:56" x14ac:dyDescent="0.2">
      <c r="A71" s="168">
        <v>79</v>
      </c>
      <c r="B71" s="169" t="s">
        <v>90</v>
      </c>
      <c r="C71" s="170">
        <v>4278800</v>
      </c>
      <c r="D71" s="104">
        <v>0</v>
      </c>
      <c r="E71" s="104">
        <v>1172300</v>
      </c>
      <c r="F71" s="104">
        <v>492700</v>
      </c>
      <c r="I71" s="104">
        <v>0</v>
      </c>
      <c r="J71" s="104">
        <v>0</v>
      </c>
      <c r="K71" s="171">
        <v>0</v>
      </c>
      <c r="L71" s="172">
        <v>1.49</v>
      </c>
      <c r="M71" s="173">
        <v>1.49</v>
      </c>
      <c r="N71" s="104">
        <v>10126</v>
      </c>
      <c r="O71" s="104">
        <v>10279</v>
      </c>
      <c r="P71" s="104">
        <v>446</v>
      </c>
      <c r="Q71" s="174">
        <v>1953.1573999999998</v>
      </c>
      <c r="R71" s="175">
        <v>1261</v>
      </c>
      <c r="S71" s="176">
        <v>35</v>
      </c>
      <c r="T71" s="182">
        <v>550668.6</v>
      </c>
      <c r="U71" s="195">
        <v>116251</v>
      </c>
      <c r="V71" s="198">
        <v>25874</v>
      </c>
      <c r="W71" s="182">
        <v>1882797.5</v>
      </c>
      <c r="X71" s="195">
        <v>1852.4</v>
      </c>
      <c r="Y71" s="195">
        <v>231701.55</v>
      </c>
      <c r="Z71" s="198">
        <v>230970.45</v>
      </c>
      <c r="AA71" s="181">
        <v>795874.95</v>
      </c>
      <c r="AB71" s="195">
        <v>1603.3260551829287</v>
      </c>
      <c r="AC71" s="195">
        <v>44.149055237342814</v>
      </c>
      <c r="AD71" s="195">
        <v>114.30155704786358</v>
      </c>
      <c r="AE71" s="195">
        <v>76.760316721112858</v>
      </c>
      <c r="AF71" s="195">
        <v>55.788103232602545</v>
      </c>
      <c r="AG71" s="195">
        <v>44.48465665942458</v>
      </c>
      <c r="AH71" s="181">
        <v>1938.8097440812749</v>
      </c>
      <c r="AI71" s="195">
        <v>1571.1208192807828</v>
      </c>
      <c r="AJ71" s="195">
        <v>41.222456788922386</v>
      </c>
      <c r="AK71" s="195">
        <v>130.47795505399358</v>
      </c>
      <c r="AL71" s="195">
        <v>78.054749874334064</v>
      </c>
      <c r="AM71" s="195">
        <v>45.26045010863573</v>
      </c>
      <c r="AN71" s="195">
        <v>32.680273697181953</v>
      </c>
      <c r="AO71" s="181">
        <v>1898.8167048038504</v>
      </c>
      <c r="AP71" s="177">
        <v>1587.2234372318558</v>
      </c>
      <c r="AQ71" s="178">
        <v>42.685756013132604</v>
      </c>
      <c r="AR71" s="179">
        <v>122.38975605092858</v>
      </c>
      <c r="AS71" s="179">
        <v>77.407533297723461</v>
      </c>
      <c r="AT71" s="178">
        <v>50.524276670619138</v>
      </c>
      <c r="AU71" s="180">
        <v>38.582465178303266</v>
      </c>
      <c r="AV71" s="181">
        <v>1918.8132244425626</v>
      </c>
      <c r="AW71" s="182">
        <v>2330.2499687959903</v>
      </c>
      <c r="AX71" s="183">
        <v>0.94499999999999995</v>
      </c>
      <c r="AY71" s="184">
        <v>0</v>
      </c>
      <c r="AZ71" s="182">
        <v>1375.2212389380531</v>
      </c>
      <c r="BA71" s="178">
        <v>11971.431008989712</v>
      </c>
      <c r="BB71" s="178">
        <v>7150</v>
      </c>
      <c r="BC71" s="180">
        <v>210</v>
      </c>
      <c r="BD71" s="185"/>
    </row>
    <row r="72" spans="1:56" x14ac:dyDescent="0.2">
      <c r="A72" s="148">
        <v>80</v>
      </c>
      <c r="B72" s="149" t="s">
        <v>91</v>
      </c>
      <c r="C72" s="150">
        <v>2739300</v>
      </c>
      <c r="D72" s="151">
        <v>624200</v>
      </c>
      <c r="E72" s="151">
        <v>684000</v>
      </c>
      <c r="F72" s="151">
        <v>160500</v>
      </c>
      <c r="G72" s="152"/>
      <c r="H72" s="152"/>
      <c r="I72" s="151">
        <v>818100</v>
      </c>
      <c r="J72" s="151">
        <v>0</v>
      </c>
      <c r="K72" s="153">
        <v>0</v>
      </c>
      <c r="L72" s="154">
        <v>1.57</v>
      </c>
      <c r="M72" s="155">
        <v>1.62</v>
      </c>
      <c r="N72" s="151">
        <v>3962</v>
      </c>
      <c r="O72" s="151">
        <v>3973</v>
      </c>
      <c r="P72" s="151">
        <v>194</v>
      </c>
      <c r="Q72" s="156">
        <v>1452.5502000000001</v>
      </c>
      <c r="R72" s="157">
        <v>507</v>
      </c>
      <c r="S72" s="158">
        <v>13</v>
      </c>
      <c r="T72" s="164">
        <v>250452.45</v>
      </c>
      <c r="U72" s="196">
        <v>62225.55</v>
      </c>
      <c r="V72" s="197">
        <v>672.85</v>
      </c>
      <c r="W72" s="164">
        <v>683388.1</v>
      </c>
      <c r="X72" s="196">
        <v>23079.25</v>
      </c>
      <c r="Y72" s="196">
        <v>26190.9</v>
      </c>
      <c r="Z72" s="197">
        <v>17830.75</v>
      </c>
      <c r="AA72" s="163">
        <v>338246.85</v>
      </c>
      <c r="AB72" s="196">
        <v>1352.4701146895839</v>
      </c>
      <c r="AC72" s="196">
        <v>50.36236749116609</v>
      </c>
      <c r="AD72" s="196">
        <v>149.44020696617869</v>
      </c>
      <c r="AE72" s="196">
        <v>75.572498485242278</v>
      </c>
      <c r="AF72" s="196">
        <v>47.290089180548549</v>
      </c>
      <c r="AG72" s="196">
        <v>37.17318694262157</v>
      </c>
      <c r="AH72" s="163">
        <v>1712.3084637553413</v>
      </c>
      <c r="AI72" s="196">
        <v>1370.6332410201244</v>
      </c>
      <c r="AJ72" s="196">
        <v>40.861380988337949</v>
      </c>
      <c r="AK72" s="196">
        <v>200.81510193808205</v>
      </c>
      <c r="AL72" s="196">
        <v>76.232577757652976</v>
      </c>
      <c r="AM72" s="196">
        <v>52.807030791173759</v>
      </c>
      <c r="AN72" s="196">
        <v>74.707240540313776</v>
      </c>
      <c r="AO72" s="163">
        <v>1816.0565730356848</v>
      </c>
      <c r="AP72" s="159">
        <v>1361.551677854854</v>
      </c>
      <c r="AQ72" s="160">
        <v>45.611874239752019</v>
      </c>
      <c r="AR72" s="161">
        <v>175.12765445213037</v>
      </c>
      <c r="AS72" s="161">
        <v>75.902538121447634</v>
      </c>
      <c r="AT72" s="160">
        <v>50.048559985861154</v>
      </c>
      <c r="AU72" s="162">
        <v>55.940213741467673</v>
      </c>
      <c r="AV72" s="163">
        <v>1764.1825183955129</v>
      </c>
      <c r="AW72" s="164">
        <v>2330.2499687959903</v>
      </c>
      <c r="AX72" s="165">
        <v>0.94499999999999995</v>
      </c>
      <c r="AY72" s="166">
        <v>0</v>
      </c>
      <c r="AZ72" s="164">
        <v>1375.2212389380531</v>
      </c>
      <c r="BA72" s="160">
        <v>11971.431008989712</v>
      </c>
      <c r="BB72" s="160">
        <v>7150</v>
      </c>
      <c r="BC72" s="162">
        <v>210</v>
      </c>
      <c r="BD72" s="167"/>
    </row>
    <row r="73" spans="1:56" x14ac:dyDescent="0.2">
      <c r="A73" s="168">
        <v>81</v>
      </c>
      <c r="B73" s="169" t="s">
        <v>92</v>
      </c>
      <c r="C73" s="170">
        <v>0</v>
      </c>
      <c r="D73" s="104">
        <v>0</v>
      </c>
      <c r="E73" s="104">
        <v>0</v>
      </c>
      <c r="F73" s="104">
        <v>1795800</v>
      </c>
      <c r="I73" s="104">
        <v>0</v>
      </c>
      <c r="J73" s="104">
        <v>0</v>
      </c>
      <c r="K73" s="171">
        <v>0</v>
      </c>
      <c r="L73" s="172">
        <v>1.2723211636015959</v>
      </c>
      <c r="M73" s="173">
        <v>1.24</v>
      </c>
      <c r="N73" s="104">
        <v>22985</v>
      </c>
      <c r="O73" s="104">
        <v>23292</v>
      </c>
      <c r="P73" s="104">
        <v>1108</v>
      </c>
      <c r="Q73" s="174">
        <v>3170.5930000000003</v>
      </c>
      <c r="R73" s="175">
        <v>2407</v>
      </c>
      <c r="S73" s="176">
        <v>64</v>
      </c>
      <c r="T73" s="182">
        <v>707738.75</v>
      </c>
      <c r="U73" s="195">
        <v>272295.25</v>
      </c>
      <c r="V73" s="198">
        <v>138765.65</v>
      </c>
      <c r="W73" s="182">
        <v>4855437.87</v>
      </c>
      <c r="X73" s="195">
        <v>221672.55</v>
      </c>
      <c r="Y73" s="195">
        <v>460528.38</v>
      </c>
      <c r="Z73" s="198">
        <v>853002.82</v>
      </c>
      <c r="AA73" s="181">
        <v>2158810.85</v>
      </c>
      <c r="AB73" s="195">
        <v>2124.7041669856894</v>
      </c>
      <c r="AC73" s="195">
        <v>55.872168805742881</v>
      </c>
      <c r="AD73" s="195">
        <v>221.21039228482343</v>
      </c>
      <c r="AE73" s="195">
        <v>91.54516059119554</v>
      </c>
      <c r="AF73" s="195">
        <v>57.407407729678773</v>
      </c>
      <c r="AG73" s="195">
        <v>39.98166340366906</v>
      </c>
      <c r="AH73" s="181">
        <v>2590.7209598007989</v>
      </c>
      <c r="AI73" s="195">
        <v>2075.2575369816827</v>
      </c>
      <c r="AJ73" s="195">
        <v>53.693421203274362</v>
      </c>
      <c r="AK73" s="195">
        <v>227.92091275974582</v>
      </c>
      <c r="AL73" s="195">
        <v>97.803037542558656</v>
      </c>
      <c r="AM73" s="195">
        <v>68.664824832560527</v>
      </c>
      <c r="AN73" s="195">
        <v>72.856641765413002</v>
      </c>
      <c r="AO73" s="181">
        <v>2596.1963750852351</v>
      </c>
      <c r="AP73" s="177">
        <v>2099.9808519836861</v>
      </c>
      <c r="AQ73" s="178">
        <v>54.782795004508621</v>
      </c>
      <c r="AR73" s="179">
        <v>224.56565252228461</v>
      </c>
      <c r="AS73" s="179">
        <v>94.674099066877091</v>
      </c>
      <c r="AT73" s="178">
        <v>63.036116281119646</v>
      </c>
      <c r="AU73" s="180">
        <v>56.419152584541031</v>
      </c>
      <c r="AV73" s="181">
        <v>2593.458667443017</v>
      </c>
      <c r="AW73" s="182">
        <v>2330.2499687959903</v>
      </c>
      <c r="AX73" s="183">
        <v>0.94499999999999995</v>
      </c>
      <c r="AY73" s="184">
        <v>-0.35545606097092058</v>
      </c>
      <c r="AZ73" s="182">
        <v>1375.2212389380531</v>
      </c>
      <c r="BA73" s="178">
        <v>11971.431008989712</v>
      </c>
      <c r="BB73" s="178">
        <v>7150</v>
      </c>
      <c r="BC73" s="180">
        <v>210</v>
      </c>
      <c r="BD73" s="185"/>
    </row>
    <row r="74" spans="1:56" x14ac:dyDescent="0.2">
      <c r="A74" s="148">
        <v>83</v>
      </c>
      <c r="B74" s="149" t="s">
        <v>93</v>
      </c>
      <c r="C74" s="150">
        <v>0</v>
      </c>
      <c r="D74" s="151">
        <v>0</v>
      </c>
      <c r="E74" s="151">
        <v>133100</v>
      </c>
      <c r="F74" s="151">
        <v>0</v>
      </c>
      <c r="G74" s="152"/>
      <c r="H74" s="152"/>
      <c r="I74" s="151">
        <v>0</v>
      </c>
      <c r="J74" s="151">
        <v>0</v>
      </c>
      <c r="K74" s="153">
        <v>0</v>
      </c>
      <c r="L74" s="154">
        <v>1.03</v>
      </c>
      <c r="M74" s="155">
        <v>1</v>
      </c>
      <c r="N74" s="151">
        <v>4720</v>
      </c>
      <c r="O74" s="151">
        <v>4741</v>
      </c>
      <c r="P74" s="151">
        <v>110</v>
      </c>
      <c r="Q74" s="156">
        <v>871.25099999999998</v>
      </c>
      <c r="R74" s="157">
        <v>564</v>
      </c>
      <c r="S74" s="158">
        <v>6</v>
      </c>
      <c r="T74" s="164">
        <v>36996.300000000003</v>
      </c>
      <c r="U74" s="196">
        <v>0</v>
      </c>
      <c r="V74" s="197">
        <v>3140.65</v>
      </c>
      <c r="W74" s="164">
        <v>351115.4</v>
      </c>
      <c r="X74" s="196">
        <v>2332.8000000000002</v>
      </c>
      <c r="Y74" s="196">
        <v>34442.199999999997</v>
      </c>
      <c r="Z74" s="197">
        <v>2100</v>
      </c>
      <c r="AA74" s="163">
        <v>208917.2</v>
      </c>
      <c r="AB74" s="196">
        <v>2398.9930385206753</v>
      </c>
      <c r="AC74" s="196">
        <v>22.309081920903957</v>
      </c>
      <c r="AD74" s="196">
        <v>162.96567796610171</v>
      </c>
      <c r="AE74" s="196">
        <v>101.56730712283272</v>
      </c>
      <c r="AF74" s="196">
        <v>92.694851694915258</v>
      </c>
      <c r="AG74" s="196">
        <v>66.465063559322047</v>
      </c>
      <c r="AH74" s="163">
        <v>2844.9950207847505</v>
      </c>
      <c r="AI74" s="196">
        <v>2463.3987135216967</v>
      </c>
      <c r="AJ74" s="196">
        <v>28.622414399212545</v>
      </c>
      <c r="AK74" s="196">
        <v>118.41296491598116</v>
      </c>
      <c r="AL74" s="196">
        <v>107.22515099294417</v>
      </c>
      <c r="AM74" s="196">
        <v>84.270287562398934</v>
      </c>
      <c r="AN74" s="196">
        <v>21.709934612950853</v>
      </c>
      <c r="AO74" s="163">
        <v>2823.6394660051847</v>
      </c>
      <c r="AP74" s="159">
        <v>2431.195876021186</v>
      </c>
      <c r="AQ74" s="160">
        <v>25.465748160058251</v>
      </c>
      <c r="AR74" s="161">
        <v>140.68932144104144</v>
      </c>
      <c r="AS74" s="161">
        <v>104.39622905788843</v>
      </c>
      <c r="AT74" s="160">
        <v>88.482569628657103</v>
      </c>
      <c r="AU74" s="162">
        <v>44.087499086136447</v>
      </c>
      <c r="AV74" s="163">
        <v>2834.317243394968</v>
      </c>
      <c r="AW74" s="164">
        <v>2330.2499687959903</v>
      </c>
      <c r="AX74" s="165">
        <v>0.94499999999999995</v>
      </c>
      <c r="AY74" s="166">
        <v>-0.57421096139977557</v>
      </c>
      <c r="AZ74" s="164">
        <v>1375.2212389380531</v>
      </c>
      <c r="BA74" s="160">
        <v>11971.431008989712</v>
      </c>
      <c r="BB74" s="160">
        <v>7150</v>
      </c>
      <c r="BC74" s="162">
        <v>210</v>
      </c>
      <c r="BD74" s="167"/>
    </row>
    <row r="75" spans="1:56" x14ac:dyDescent="0.2">
      <c r="A75" s="168">
        <v>84</v>
      </c>
      <c r="B75" s="169" t="s">
        <v>94</v>
      </c>
      <c r="C75" s="170">
        <v>0</v>
      </c>
      <c r="D75" s="104">
        <v>812400</v>
      </c>
      <c r="E75" s="104">
        <v>749700</v>
      </c>
      <c r="F75" s="104">
        <v>0</v>
      </c>
      <c r="I75" s="104">
        <v>0</v>
      </c>
      <c r="J75" s="104">
        <v>0</v>
      </c>
      <c r="K75" s="171">
        <v>0</v>
      </c>
      <c r="L75" s="172">
        <v>1.1200000000000001</v>
      </c>
      <c r="M75" s="173">
        <v>1.1200000000000001</v>
      </c>
      <c r="N75" s="104">
        <v>4172</v>
      </c>
      <c r="O75" s="104">
        <v>4190</v>
      </c>
      <c r="P75" s="104">
        <v>125</v>
      </c>
      <c r="Q75" s="174">
        <v>1691.0837999999999</v>
      </c>
      <c r="R75" s="175">
        <v>543</v>
      </c>
      <c r="S75" s="176">
        <v>7</v>
      </c>
      <c r="T75" s="182">
        <v>0</v>
      </c>
      <c r="U75" s="195">
        <v>14110</v>
      </c>
      <c r="V75" s="198">
        <v>8572.5</v>
      </c>
      <c r="W75" s="182">
        <v>134883.5</v>
      </c>
      <c r="X75" s="195">
        <v>0</v>
      </c>
      <c r="Y75" s="195">
        <v>23238</v>
      </c>
      <c r="Z75" s="198">
        <v>0</v>
      </c>
      <c r="AA75" s="181">
        <v>169123.45</v>
      </c>
      <c r="AB75" s="195">
        <v>1735.8109480862208</v>
      </c>
      <c r="AC75" s="195">
        <v>35.912551933525087</v>
      </c>
      <c r="AD75" s="195">
        <v>321.52417705337172</v>
      </c>
      <c r="AE75" s="195">
        <v>99.681867721978492</v>
      </c>
      <c r="AF75" s="195">
        <v>56.152484819431123</v>
      </c>
      <c r="AG75" s="195">
        <v>31.924704378395653</v>
      </c>
      <c r="AH75" s="181">
        <v>2281.0067339929233</v>
      </c>
      <c r="AI75" s="195">
        <v>1749.091121957639</v>
      </c>
      <c r="AJ75" s="195">
        <v>35.720031821797939</v>
      </c>
      <c r="AK75" s="195">
        <v>305.14126491646783</v>
      </c>
      <c r="AL75" s="195">
        <v>100.87395574016061</v>
      </c>
      <c r="AM75" s="195">
        <v>39.453874303898168</v>
      </c>
      <c r="AN75" s="195">
        <v>55.481463802704852</v>
      </c>
      <c r="AO75" s="181">
        <v>2285.7617125426682</v>
      </c>
      <c r="AP75" s="177">
        <v>1742.4510350219298</v>
      </c>
      <c r="AQ75" s="178">
        <v>35.816291877661513</v>
      </c>
      <c r="AR75" s="179">
        <v>313.33272098491977</v>
      </c>
      <c r="AS75" s="179">
        <v>100.27791173106955</v>
      </c>
      <c r="AT75" s="178">
        <v>47.803179561664649</v>
      </c>
      <c r="AU75" s="180">
        <v>43.703084090550249</v>
      </c>
      <c r="AV75" s="181">
        <v>2283.3842232677962</v>
      </c>
      <c r="AW75" s="182">
        <v>2330.2499687959903</v>
      </c>
      <c r="AX75" s="183">
        <v>0.94499999999999995</v>
      </c>
      <c r="AY75" s="184">
        <v>-7.3837256687138614E-2</v>
      </c>
      <c r="AZ75" s="182">
        <v>1375.2212389380531</v>
      </c>
      <c r="BA75" s="178">
        <v>11971.431008989712</v>
      </c>
      <c r="BB75" s="178">
        <v>7150</v>
      </c>
      <c r="BC75" s="180">
        <v>210</v>
      </c>
      <c r="BD75" s="185"/>
    </row>
    <row r="76" spans="1:56" x14ac:dyDescent="0.2">
      <c r="A76" s="148">
        <v>85</v>
      </c>
      <c r="B76" s="149" t="s">
        <v>95</v>
      </c>
      <c r="C76" s="150">
        <v>1095200</v>
      </c>
      <c r="D76" s="151">
        <v>443400</v>
      </c>
      <c r="E76" s="151">
        <v>286400</v>
      </c>
      <c r="F76" s="151">
        <v>108600</v>
      </c>
      <c r="G76" s="152"/>
      <c r="H76" s="152"/>
      <c r="I76" s="151">
        <v>0</v>
      </c>
      <c r="J76" s="151">
        <v>0</v>
      </c>
      <c r="K76" s="153">
        <v>0</v>
      </c>
      <c r="L76" s="154">
        <v>1.57</v>
      </c>
      <c r="M76" s="155">
        <v>1.57</v>
      </c>
      <c r="N76" s="151">
        <v>1460</v>
      </c>
      <c r="O76" s="151">
        <v>1499</v>
      </c>
      <c r="P76" s="151">
        <v>45</v>
      </c>
      <c r="Q76" s="156">
        <v>699.19699999999989</v>
      </c>
      <c r="R76" s="157">
        <v>193</v>
      </c>
      <c r="S76" s="158">
        <v>6</v>
      </c>
      <c r="T76" s="164">
        <v>39912.75</v>
      </c>
      <c r="U76" s="196">
        <v>65419.75</v>
      </c>
      <c r="V76" s="197">
        <v>2284.8000000000002</v>
      </c>
      <c r="W76" s="164">
        <v>95885.05</v>
      </c>
      <c r="X76" s="196">
        <v>0</v>
      </c>
      <c r="Y76" s="196">
        <v>321869.84999999998</v>
      </c>
      <c r="Z76" s="197">
        <v>0</v>
      </c>
      <c r="AA76" s="163">
        <v>39793.75</v>
      </c>
      <c r="AB76" s="196">
        <v>1418.0618462557525</v>
      </c>
      <c r="AC76" s="196">
        <v>33.792990867579903</v>
      </c>
      <c r="AD76" s="196">
        <v>38.658630136986304</v>
      </c>
      <c r="AE76" s="196">
        <v>89.37659931541971</v>
      </c>
      <c r="AF76" s="196">
        <v>60.029680365296798</v>
      </c>
      <c r="AG76" s="196">
        <v>79.122077625570782</v>
      </c>
      <c r="AH76" s="163">
        <v>1719.041824566606</v>
      </c>
      <c r="AI76" s="196">
        <v>1456.1491384507328</v>
      </c>
      <c r="AJ76" s="196">
        <v>28.395730486991326</v>
      </c>
      <c r="AK76" s="196">
        <v>37.849766511007338</v>
      </c>
      <c r="AL76" s="196">
        <v>89.22822381757581</v>
      </c>
      <c r="AM76" s="196">
        <v>71.82152546141873</v>
      </c>
      <c r="AN76" s="196">
        <v>38.760529241716696</v>
      </c>
      <c r="AO76" s="163">
        <v>1722.2049139694429</v>
      </c>
      <c r="AP76" s="159">
        <v>1437.1054923532427</v>
      </c>
      <c r="AQ76" s="160">
        <v>31.094360677285614</v>
      </c>
      <c r="AR76" s="161">
        <v>38.254198323996818</v>
      </c>
      <c r="AS76" s="161">
        <v>89.302411566497767</v>
      </c>
      <c r="AT76" s="160">
        <v>65.925602913357764</v>
      </c>
      <c r="AU76" s="162">
        <v>58.941303433643739</v>
      </c>
      <c r="AV76" s="163">
        <v>1720.6233692680244</v>
      </c>
      <c r="AW76" s="164">
        <v>2330.2499687959903</v>
      </c>
      <c r="AX76" s="165">
        <v>0.94499999999999995</v>
      </c>
      <c r="AY76" s="166">
        <v>0</v>
      </c>
      <c r="AZ76" s="164">
        <v>1375.2212389380531</v>
      </c>
      <c r="BA76" s="160">
        <v>11971.431008989712</v>
      </c>
      <c r="BB76" s="160">
        <v>7150</v>
      </c>
      <c r="BC76" s="162">
        <v>210</v>
      </c>
      <c r="BD76" s="167"/>
    </row>
    <row r="77" spans="1:56" x14ac:dyDescent="0.2">
      <c r="A77" s="168">
        <v>86</v>
      </c>
      <c r="B77" s="169" t="s">
        <v>96</v>
      </c>
      <c r="C77" s="170">
        <v>1211300</v>
      </c>
      <c r="D77" s="104">
        <v>750800</v>
      </c>
      <c r="E77" s="104">
        <v>1885100</v>
      </c>
      <c r="F77" s="104">
        <v>0</v>
      </c>
      <c r="I77" s="104">
        <v>0</v>
      </c>
      <c r="J77" s="104">
        <v>0</v>
      </c>
      <c r="K77" s="171">
        <v>0</v>
      </c>
      <c r="L77" s="172">
        <v>1.29</v>
      </c>
      <c r="M77" s="173">
        <v>1.29</v>
      </c>
      <c r="N77" s="104">
        <v>2926</v>
      </c>
      <c r="O77" s="104">
        <v>2918</v>
      </c>
      <c r="P77" s="104">
        <v>94</v>
      </c>
      <c r="Q77" s="174">
        <v>1279.4329999999998</v>
      </c>
      <c r="R77" s="175">
        <v>487</v>
      </c>
      <c r="S77" s="176">
        <v>11</v>
      </c>
      <c r="T77" s="182">
        <v>9541.7999999999993</v>
      </c>
      <c r="U77" s="195">
        <v>4376.8</v>
      </c>
      <c r="V77" s="198">
        <v>30028.85</v>
      </c>
      <c r="W77" s="182">
        <v>178565.55</v>
      </c>
      <c r="X77" s="195">
        <v>0</v>
      </c>
      <c r="Y77" s="195">
        <v>35516</v>
      </c>
      <c r="Z77" s="198">
        <v>0</v>
      </c>
      <c r="AA77" s="181">
        <v>89535.95</v>
      </c>
      <c r="AB77" s="195">
        <v>1640.3922832922599</v>
      </c>
      <c r="AC77" s="195">
        <v>26.260503531556164</v>
      </c>
      <c r="AD77" s="195">
        <v>8.4589086352244252</v>
      </c>
      <c r="AE77" s="195">
        <v>87.002322022089459</v>
      </c>
      <c r="AF77" s="195">
        <v>53.341752107541581</v>
      </c>
      <c r="AG77" s="195">
        <v>63.547562087035764</v>
      </c>
      <c r="AH77" s="181">
        <v>1879.0033316757072</v>
      </c>
      <c r="AI77" s="195">
        <v>1653.8226918347809</v>
      </c>
      <c r="AJ77" s="195">
        <v>26.937788439570486</v>
      </c>
      <c r="AK77" s="195">
        <v>36.962131596984236</v>
      </c>
      <c r="AL77" s="195">
        <v>89.052503334884321</v>
      </c>
      <c r="AM77" s="195">
        <v>37.874411697509707</v>
      </c>
      <c r="AN77" s="195">
        <v>55.97517706191455</v>
      </c>
      <c r="AO77" s="181">
        <v>1900.6247039656441</v>
      </c>
      <c r="AP77" s="177">
        <v>1647.1074875635204</v>
      </c>
      <c r="AQ77" s="178">
        <v>26.599145985563325</v>
      </c>
      <c r="AR77" s="179">
        <v>22.71052011610433</v>
      </c>
      <c r="AS77" s="179">
        <v>88.027412678486883</v>
      </c>
      <c r="AT77" s="178">
        <v>45.60808190252564</v>
      </c>
      <c r="AU77" s="180">
        <v>59.761369574475154</v>
      </c>
      <c r="AV77" s="181">
        <v>1889.8140178206756</v>
      </c>
      <c r="AW77" s="182">
        <v>2330.2499687959903</v>
      </c>
      <c r="AX77" s="183">
        <v>0.94499999999999995</v>
      </c>
      <c r="AY77" s="184">
        <v>0</v>
      </c>
      <c r="AZ77" s="182">
        <v>1375.2212389380531</v>
      </c>
      <c r="BA77" s="178">
        <v>11971.431008989712</v>
      </c>
      <c r="BB77" s="178">
        <v>7150</v>
      </c>
      <c r="BC77" s="180">
        <v>210</v>
      </c>
      <c r="BD77" s="185"/>
    </row>
    <row r="78" spans="1:56" x14ac:dyDescent="0.2">
      <c r="A78" s="148">
        <v>87</v>
      </c>
      <c r="B78" s="149" t="s">
        <v>97</v>
      </c>
      <c r="C78" s="150">
        <v>0</v>
      </c>
      <c r="D78" s="151">
        <v>0</v>
      </c>
      <c r="E78" s="151">
        <v>103900</v>
      </c>
      <c r="F78" s="151">
        <v>1400</v>
      </c>
      <c r="G78" s="152"/>
      <c r="H78" s="152"/>
      <c r="I78" s="151">
        <v>0</v>
      </c>
      <c r="J78" s="151">
        <v>0</v>
      </c>
      <c r="K78" s="153">
        <v>0</v>
      </c>
      <c r="L78" s="154">
        <v>1.1599999999999999</v>
      </c>
      <c r="M78" s="155">
        <v>1.1599999999999999</v>
      </c>
      <c r="N78" s="151">
        <v>17941</v>
      </c>
      <c r="O78" s="151">
        <v>18087</v>
      </c>
      <c r="P78" s="151">
        <v>822</v>
      </c>
      <c r="Q78" s="156">
        <v>3059.4992000000002</v>
      </c>
      <c r="R78" s="157">
        <v>1932</v>
      </c>
      <c r="S78" s="158">
        <v>69</v>
      </c>
      <c r="T78" s="164">
        <v>411048.6</v>
      </c>
      <c r="U78" s="196">
        <v>88996.2</v>
      </c>
      <c r="V78" s="197">
        <v>27191.8</v>
      </c>
      <c r="W78" s="164">
        <v>1106055.3799999999</v>
      </c>
      <c r="X78" s="196">
        <v>37670.85</v>
      </c>
      <c r="Y78" s="196">
        <v>241378.63</v>
      </c>
      <c r="Z78" s="197">
        <v>188084.8</v>
      </c>
      <c r="AA78" s="163">
        <v>1283348.3999999999</v>
      </c>
      <c r="AB78" s="196">
        <v>1889.5316387789244</v>
      </c>
      <c r="AC78" s="196">
        <v>37.153269048548012</v>
      </c>
      <c r="AD78" s="196">
        <v>187.90488638686065</v>
      </c>
      <c r="AE78" s="196">
        <v>90.742211931428884</v>
      </c>
      <c r="AF78" s="196">
        <v>51.280419151663786</v>
      </c>
      <c r="AG78" s="196">
        <v>30.813163517455365</v>
      </c>
      <c r="AH78" s="163">
        <v>2287.4255888148809</v>
      </c>
      <c r="AI78" s="196">
        <v>1975.0172491338781</v>
      </c>
      <c r="AJ78" s="196">
        <v>36.816112861908181</v>
      </c>
      <c r="AK78" s="196">
        <v>205.48302648310943</v>
      </c>
      <c r="AL78" s="196">
        <v>98.015073115202341</v>
      </c>
      <c r="AM78" s="196">
        <v>51.54806767291425</v>
      </c>
      <c r="AN78" s="196">
        <v>30.91223899301524</v>
      </c>
      <c r="AO78" s="163">
        <v>2397.7917682600278</v>
      </c>
      <c r="AP78" s="159">
        <v>1932.2744439564012</v>
      </c>
      <c r="AQ78" s="160">
        <v>36.984690955228096</v>
      </c>
      <c r="AR78" s="161">
        <v>196.69395643498504</v>
      </c>
      <c r="AS78" s="161">
        <v>94.378642523315619</v>
      </c>
      <c r="AT78" s="160">
        <v>51.414243412289018</v>
      </c>
      <c r="AU78" s="162">
        <v>30.862701255235301</v>
      </c>
      <c r="AV78" s="163">
        <v>2342.6086785374546</v>
      </c>
      <c r="AW78" s="164">
        <v>2330.2499687959903</v>
      </c>
      <c r="AX78" s="165">
        <v>0.94499999999999995</v>
      </c>
      <c r="AY78" s="166">
        <v>-0.12762666304006737</v>
      </c>
      <c r="AZ78" s="164">
        <v>1375.2212389380531</v>
      </c>
      <c r="BA78" s="160">
        <v>11971.431008989712</v>
      </c>
      <c r="BB78" s="160">
        <v>7150</v>
      </c>
      <c r="BC78" s="162">
        <v>210</v>
      </c>
      <c r="BD78" s="167"/>
    </row>
    <row r="79" spans="1:56" x14ac:dyDescent="0.2">
      <c r="A79" s="168">
        <v>88</v>
      </c>
      <c r="B79" s="169" t="s">
        <v>98</v>
      </c>
      <c r="C79" s="170">
        <v>0</v>
      </c>
      <c r="D79" s="104">
        <v>230100</v>
      </c>
      <c r="E79" s="104">
        <v>1011000</v>
      </c>
      <c r="F79" s="104">
        <v>50200</v>
      </c>
      <c r="I79" s="104">
        <v>0</v>
      </c>
      <c r="J79" s="104">
        <v>0</v>
      </c>
      <c r="K79" s="171">
        <v>0</v>
      </c>
      <c r="L79" s="172">
        <v>1.37</v>
      </c>
      <c r="M79" s="173">
        <v>1.37</v>
      </c>
      <c r="N79" s="104">
        <v>1887</v>
      </c>
      <c r="O79" s="104">
        <v>1925</v>
      </c>
      <c r="P79" s="104">
        <v>65</v>
      </c>
      <c r="Q79" s="174">
        <v>653.50980000000004</v>
      </c>
      <c r="R79" s="175">
        <v>304</v>
      </c>
      <c r="S79" s="176">
        <v>4</v>
      </c>
      <c r="T79" s="182">
        <v>124081.7</v>
      </c>
      <c r="U79" s="195">
        <v>0</v>
      </c>
      <c r="V79" s="198">
        <v>34053.75</v>
      </c>
      <c r="W79" s="182">
        <v>246102.1</v>
      </c>
      <c r="X79" s="195">
        <v>0</v>
      </c>
      <c r="Y79" s="195">
        <v>5357.65</v>
      </c>
      <c r="Z79" s="198">
        <v>0</v>
      </c>
      <c r="AA79" s="181">
        <v>109432.8</v>
      </c>
      <c r="AB79" s="195">
        <v>1895.1984641120553</v>
      </c>
      <c r="AC79" s="195">
        <v>25.092139198021552</v>
      </c>
      <c r="AD79" s="195">
        <v>73.754407348524992</v>
      </c>
      <c r="AE79" s="195">
        <v>93.796990318962315</v>
      </c>
      <c r="AF79" s="195">
        <v>78.974739445327685</v>
      </c>
      <c r="AG79" s="195">
        <v>33.900353294470939</v>
      </c>
      <c r="AH79" s="181">
        <v>2200.7170937173623</v>
      </c>
      <c r="AI79" s="195">
        <v>1766.049575550395</v>
      </c>
      <c r="AJ79" s="195">
        <v>27.374770562770561</v>
      </c>
      <c r="AK79" s="195">
        <v>80.459584415584416</v>
      </c>
      <c r="AL79" s="195">
        <v>93.688314066149943</v>
      </c>
      <c r="AM79" s="195">
        <v>60.671861471861469</v>
      </c>
      <c r="AN79" s="195">
        <v>204.75696969696972</v>
      </c>
      <c r="AO79" s="181">
        <v>2233.0010757637315</v>
      </c>
      <c r="AP79" s="177">
        <v>1830.6240198312253</v>
      </c>
      <c r="AQ79" s="178">
        <v>26.233454880396057</v>
      </c>
      <c r="AR79" s="179">
        <v>77.106995882054704</v>
      </c>
      <c r="AS79" s="179">
        <v>93.742652192556136</v>
      </c>
      <c r="AT79" s="178">
        <v>69.823300458594574</v>
      </c>
      <c r="AU79" s="180">
        <v>119.32866149572033</v>
      </c>
      <c r="AV79" s="181">
        <v>2216.8590847405467</v>
      </c>
      <c r="AW79" s="182">
        <v>2330.2499687959903</v>
      </c>
      <c r="AX79" s="183">
        <v>0.94499999999999995</v>
      </c>
      <c r="AY79" s="184">
        <v>-1.341715332554032E-2</v>
      </c>
      <c r="AZ79" s="182">
        <v>1375.2212389380531</v>
      </c>
      <c r="BA79" s="178">
        <v>11971.431008989712</v>
      </c>
      <c r="BB79" s="178">
        <v>7150</v>
      </c>
      <c r="BC79" s="180">
        <v>210</v>
      </c>
      <c r="BD79" s="185"/>
    </row>
    <row r="80" spans="1:56" x14ac:dyDescent="0.2">
      <c r="A80" s="148">
        <v>89</v>
      </c>
      <c r="B80" s="149" t="s">
        <v>99</v>
      </c>
      <c r="C80" s="150">
        <v>1404100</v>
      </c>
      <c r="D80" s="151">
        <v>1961100</v>
      </c>
      <c r="E80" s="151">
        <v>1614200</v>
      </c>
      <c r="F80" s="151">
        <v>0</v>
      </c>
      <c r="G80" s="152"/>
      <c r="H80" s="152"/>
      <c r="I80" s="151">
        <v>0</v>
      </c>
      <c r="J80" s="151">
        <v>0</v>
      </c>
      <c r="K80" s="153">
        <v>0</v>
      </c>
      <c r="L80" s="154">
        <v>1.4</v>
      </c>
      <c r="M80" s="155">
        <v>1.4</v>
      </c>
      <c r="N80" s="151">
        <v>3439</v>
      </c>
      <c r="O80" s="151">
        <v>3483</v>
      </c>
      <c r="P80" s="151">
        <v>133</v>
      </c>
      <c r="Q80" s="156">
        <v>2301.5655999999994</v>
      </c>
      <c r="R80" s="157">
        <v>530</v>
      </c>
      <c r="S80" s="158">
        <v>10</v>
      </c>
      <c r="T80" s="164">
        <v>35958.35</v>
      </c>
      <c r="U80" s="196">
        <v>0</v>
      </c>
      <c r="V80" s="197">
        <v>0</v>
      </c>
      <c r="W80" s="164">
        <v>253345.1</v>
      </c>
      <c r="X80" s="196">
        <v>0</v>
      </c>
      <c r="Y80" s="196">
        <v>77634.3</v>
      </c>
      <c r="Z80" s="197">
        <v>13418.75</v>
      </c>
      <c r="AA80" s="163">
        <v>139278.1</v>
      </c>
      <c r="AB80" s="196">
        <v>1557.5081227180749</v>
      </c>
      <c r="AC80" s="196">
        <v>36.645197247261798</v>
      </c>
      <c r="AD80" s="196">
        <v>64.210031986042466</v>
      </c>
      <c r="AE80" s="196">
        <v>87.560332771705376</v>
      </c>
      <c r="AF80" s="196">
        <v>38.804865755549088</v>
      </c>
      <c r="AG80" s="196">
        <v>34.559309876902205</v>
      </c>
      <c r="AH80" s="163">
        <v>1819.2878603555359</v>
      </c>
      <c r="AI80" s="196">
        <v>1720.2835215283587</v>
      </c>
      <c r="AJ80" s="196">
        <v>33.102622260503402</v>
      </c>
      <c r="AK80" s="196">
        <v>73.171403962101635</v>
      </c>
      <c r="AL80" s="196">
        <v>88.124706813975536</v>
      </c>
      <c r="AM80" s="196">
        <v>41.143487415063639</v>
      </c>
      <c r="AN80" s="196">
        <v>52.781921714996649</v>
      </c>
      <c r="AO80" s="163">
        <v>2008.6076636949995</v>
      </c>
      <c r="AP80" s="159">
        <v>1638.8958221232169</v>
      </c>
      <c r="AQ80" s="160">
        <v>34.8739097538826</v>
      </c>
      <c r="AR80" s="161">
        <v>68.690717974072044</v>
      </c>
      <c r="AS80" s="161">
        <v>87.842519792840449</v>
      </c>
      <c r="AT80" s="160">
        <v>39.974176585306367</v>
      </c>
      <c r="AU80" s="162">
        <v>43.670615795949431</v>
      </c>
      <c r="AV80" s="163">
        <v>1913.9477620252678</v>
      </c>
      <c r="AW80" s="164">
        <v>2330.2499687959903</v>
      </c>
      <c r="AX80" s="165">
        <v>0.94499999999999995</v>
      </c>
      <c r="AY80" s="166">
        <v>0</v>
      </c>
      <c r="AZ80" s="164">
        <v>1375.2212389380531</v>
      </c>
      <c r="BA80" s="160">
        <v>11971.431008989712</v>
      </c>
      <c r="BB80" s="160">
        <v>7150</v>
      </c>
      <c r="BC80" s="162">
        <v>210</v>
      </c>
      <c r="BD80" s="167"/>
    </row>
    <row r="81" spans="1:56" x14ac:dyDescent="0.2">
      <c r="A81" s="168">
        <v>90</v>
      </c>
      <c r="B81" s="169" t="s">
        <v>100</v>
      </c>
      <c r="C81" s="170">
        <v>0</v>
      </c>
      <c r="D81" s="104">
        <v>0</v>
      </c>
      <c r="E81" s="104">
        <v>293200</v>
      </c>
      <c r="F81" s="104">
        <v>0</v>
      </c>
      <c r="I81" s="104">
        <v>0</v>
      </c>
      <c r="J81" s="104">
        <v>0</v>
      </c>
      <c r="K81" s="171">
        <v>0</v>
      </c>
      <c r="L81" s="172">
        <v>1.1499999999999999</v>
      </c>
      <c r="M81" s="173">
        <v>1.1499999999999999</v>
      </c>
      <c r="N81" s="104">
        <v>8018</v>
      </c>
      <c r="O81" s="104">
        <v>8033</v>
      </c>
      <c r="P81" s="104">
        <v>311</v>
      </c>
      <c r="Q81" s="174">
        <v>1674.9680000000003</v>
      </c>
      <c r="R81" s="175">
        <v>944</v>
      </c>
      <c r="S81" s="176">
        <v>33</v>
      </c>
      <c r="T81" s="182">
        <v>155177.65</v>
      </c>
      <c r="U81" s="195">
        <v>0</v>
      </c>
      <c r="V81" s="198">
        <v>70802.8</v>
      </c>
      <c r="W81" s="182">
        <v>886863.64</v>
      </c>
      <c r="X81" s="195">
        <v>17441.849999999999</v>
      </c>
      <c r="Y81" s="195">
        <v>93668.9</v>
      </c>
      <c r="Z81" s="198">
        <v>40249.800000000003</v>
      </c>
      <c r="AA81" s="199">
        <v>258659.35</v>
      </c>
      <c r="AB81" s="195">
        <v>2327.107050575537</v>
      </c>
      <c r="AC81" s="195">
        <v>28.859424627920511</v>
      </c>
      <c r="AD81" s="195">
        <v>68.222798702918439</v>
      </c>
      <c r="AE81" s="195">
        <v>91.705775666991698</v>
      </c>
      <c r="AF81" s="195">
        <v>47.244495717967908</v>
      </c>
      <c r="AG81" s="195">
        <v>48.57264903966076</v>
      </c>
      <c r="AH81" s="181">
        <v>2611.7121943309958</v>
      </c>
      <c r="AI81" s="195">
        <v>2289.8179882659847</v>
      </c>
      <c r="AJ81" s="195">
        <v>26.577808207809451</v>
      </c>
      <c r="AK81" s="195">
        <v>49.73923814266152</v>
      </c>
      <c r="AL81" s="195">
        <v>94.887784393095146</v>
      </c>
      <c r="AM81" s="195">
        <v>57.239478816548406</v>
      </c>
      <c r="AN81" s="195">
        <v>73.138395784057423</v>
      </c>
      <c r="AO81" s="181">
        <v>2591.4006936101568</v>
      </c>
      <c r="AP81" s="177">
        <v>2308.4625194207611</v>
      </c>
      <c r="AQ81" s="178">
        <v>27.718616417864979</v>
      </c>
      <c r="AR81" s="179">
        <v>58.98101842278998</v>
      </c>
      <c r="AS81" s="179">
        <v>93.296780030043422</v>
      </c>
      <c r="AT81" s="178">
        <v>52.241987267258153</v>
      </c>
      <c r="AU81" s="180">
        <v>60.855522411859091</v>
      </c>
      <c r="AV81" s="181">
        <v>2601.5564439705768</v>
      </c>
      <c r="AW81" s="182">
        <v>2330.2499687959903</v>
      </c>
      <c r="AX81" s="183">
        <v>0.94499999999999995</v>
      </c>
      <c r="AY81" s="184">
        <v>-0.36281070172215912</v>
      </c>
      <c r="AZ81" s="182">
        <v>1375.2212389380531</v>
      </c>
      <c r="BA81" s="178">
        <v>11971.431008989712</v>
      </c>
      <c r="BB81" s="178">
        <v>7150</v>
      </c>
      <c r="BC81" s="180">
        <v>210</v>
      </c>
      <c r="BD81" s="185"/>
    </row>
    <row r="82" spans="1:56" s="188" customFormat="1" x14ac:dyDescent="0.2">
      <c r="A82" s="186"/>
      <c r="B82" s="187" t="s">
        <v>101</v>
      </c>
      <c r="C82" s="206">
        <v>94865700</v>
      </c>
      <c r="D82" s="207">
        <v>41634300</v>
      </c>
      <c r="E82" s="207">
        <v>39234200</v>
      </c>
      <c r="F82" s="207">
        <v>18892200</v>
      </c>
      <c r="G82" s="207">
        <v>7640100</v>
      </c>
      <c r="H82" s="207">
        <v>9168100</v>
      </c>
      <c r="I82" s="207">
        <v>1187800</v>
      </c>
      <c r="J82" s="207">
        <v>0</v>
      </c>
      <c r="K82" s="207">
        <v>0</v>
      </c>
      <c r="L82" s="208"/>
      <c r="M82" s="209"/>
      <c r="N82" s="210">
        <v>487060</v>
      </c>
      <c r="O82" s="210">
        <v>491699</v>
      </c>
      <c r="P82" s="211">
        <v>22162</v>
      </c>
      <c r="Q82" s="212">
        <v>123597.1882</v>
      </c>
      <c r="R82" s="213">
        <v>55786</v>
      </c>
      <c r="S82" s="210">
        <v>1423</v>
      </c>
      <c r="T82" s="202">
        <v>12523791.139999999</v>
      </c>
      <c r="U82" s="203">
        <v>2735339.6999999993</v>
      </c>
      <c r="V82" s="204">
        <v>1830526.1600000001</v>
      </c>
      <c r="W82" s="202">
        <v>69055981.989999995</v>
      </c>
      <c r="X82" s="202">
        <v>1925123.0499999996</v>
      </c>
      <c r="Y82" s="202">
        <v>8872243.2600000035</v>
      </c>
      <c r="Z82" s="202">
        <v>10649668.890000004</v>
      </c>
      <c r="AA82" s="202">
        <v>35058292.150000013</v>
      </c>
      <c r="AB82" s="202">
        <v>1822.9345450589328</v>
      </c>
      <c r="AC82" s="203">
        <v>90.344801940897057</v>
      </c>
      <c r="AD82" s="203">
        <v>189.02053874266008</v>
      </c>
      <c r="AE82" s="203">
        <v>95.470969038722117</v>
      </c>
      <c r="AF82" s="203">
        <v>60.640882875484195</v>
      </c>
      <c r="AG82" s="204">
        <v>55.269926771513425</v>
      </c>
      <c r="AH82" s="205">
        <v>2313.6816644282098</v>
      </c>
      <c r="AI82" s="202">
        <v>1846.1558063293862</v>
      </c>
      <c r="AJ82" s="203">
        <v>87.215687103966715</v>
      </c>
      <c r="AK82" s="203">
        <v>197.24949532132459</v>
      </c>
      <c r="AL82" s="203">
        <v>98.241434102299706</v>
      </c>
      <c r="AM82" s="203">
        <v>60.103538967267923</v>
      </c>
      <c r="AN82" s="204">
        <v>57.852311339525485</v>
      </c>
      <c r="AO82" s="205">
        <v>2346.8182731637703</v>
      </c>
      <c r="AP82" s="202">
        <v>1834.5451756941595</v>
      </c>
      <c r="AQ82" s="203">
        <v>88.780244522431886</v>
      </c>
      <c r="AR82" s="203">
        <v>193.13501703199233</v>
      </c>
      <c r="AS82" s="203">
        <v>96.856201570510905</v>
      </c>
      <c r="AT82" s="203">
        <v>60.372210921376059</v>
      </c>
      <c r="AU82" s="204">
        <v>56.561119055519455</v>
      </c>
      <c r="AV82" s="205">
        <v>2330.2499687959903</v>
      </c>
      <c r="AW82" s="213"/>
      <c r="AX82" s="213"/>
      <c r="AY82" s="211"/>
      <c r="AZ82" s="213"/>
      <c r="BA82" s="210"/>
      <c r="BB82" s="210"/>
      <c r="BC82" s="211"/>
      <c r="BD82" s="214"/>
    </row>
  </sheetData>
  <sheetProtection algorithmName="SHA-512" hashValue="tVXP7zI2Q8HOejIorkIlaAVhmYju2o7Kx1ZK+YW+Ms3tRN5KpS60ZxtzD5HdU8M9ltgWE+3s20z/DgED7K/L0Q==" saltValue="Ar0IAyB9esar4H6Ly602T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FAG2015</vt:lpstr>
      <vt:lpstr>Basis</vt:lpstr>
    </vt:vector>
  </TitlesOfParts>
  <Company>Kanton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2017-07-10T12:43:24Z</dcterms:modified>
</cp:coreProperties>
</file>