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V:\Gruppen\5 Finanzausgleich\54 Vollzug\54-01X_FAG 2014\Alle Stufen\"/>
    </mc:Choice>
  </mc:AlternateContent>
  <workbookProtection workbookPassword="CCAA" lockStructure="1"/>
  <bookViews>
    <workbookView xWindow="0" yWindow="0" windowWidth="28800" windowHeight="12630"/>
  </bookViews>
  <sheets>
    <sheet name="FAG2014" sheetId="2" r:id="rId1"/>
    <sheet name="Basis" sheetId="1" r:id="rId2"/>
  </sheets>
  <calcPr calcId="152511"/>
</workbook>
</file>

<file path=xl/calcChain.xml><?xml version="1.0" encoding="utf-8"?>
<calcChain xmlns="http://schemas.openxmlformats.org/spreadsheetml/2006/main">
  <c r="J82" i="1" l="1"/>
  <c r="B66" i="2" l="1"/>
  <c r="B32" i="2"/>
  <c r="B22" i="2"/>
  <c r="B12" i="2"/>
  <c r="B3" i="2"/>
  <c r="B106" i="2"/>
  <c r="B102" i="2"/>
  <c r="B100" i="2"/>
  <c r="B91" i="2"/>
  <c r="B85" i="2"/>
  <c r="B83" i="2"/>
  <c r="B74" i="2"/>
  <c r="B63" i="2"/>
  <c r="B61" i="2"/>
  <c r="B53" i="2"/>
  <c r="B45" i="2"/>
  <c r="B38" i="2"/>
  <c r="B29" i="2"/>
  <c r="B19" i="2"/>
  <c r="E102" i="2" l="1"/>
  <c r="D102" i="2" s="1"/>
  <c r="E100" i="2"/>
  <c r="B96" i="2"/>
  <c r="E96" i="2"/>
  <c r="E106" i="2"/>
  <c r="D106" i="2" s="1"/>
  <c r="E99" i="2"/>
  <c r="E98" i="2"/>
  <c r="E90" i="2"/>
  <c r="D90" i="2" s="1"/>
  <c r="E89" i="2"/>
  <c r="E88" i="2"/>
  <c r="E82" i="2"/>
  <c r="E81" i="2"/>
  <c r="E80" i="2"/>
  <c r="E79" i="2"/>
  <c r="E78" i="2"/>
  <c r="E73" i="2"/>
  <c r="E72" i="2"/>
  <c r="E71" i="2"/>
  <c r="E70" i="2"/>
  <c r="E69" i="2"/>
  <c r="E74" i="2" s="1"/>
  <c r="D74" i="2" s="1"/>
  <c r="E60" i="2"/>
  <c r="E59" i="2"/>
  <c r="E58" i="2"/>
  <c r="E57" i="2"/>
  <c r="E51" i="2"/>
  <c r="E50" i="2"/>
  <c r="E49" i="2"/>
  <c r="E44" i="2"/>
  <c r="E43" i="2"/>
  <c r="E42" i="2"/>
  <c r="E37" i="2"/>
  <c r="E36" i="2"/>
  <c r="E35" i="2"/>
  <c r="E38" i="2" s="1"/>
  <c r="D38" i="2" s="1"/>
  <c r="E28" i="2"/>
  <c r="E27" i="2"/>
  <c r="E26" i="2"/>
  <c r="E25" i="2"/>
  <c r="E24" i="2"/>
  <c r="E18" i="2"/>
  <c r="E17" i="2"/>
  <c r="E16" i="2"/>
  <c r="E15" i="2"/>
  <c r="E14" i="2"/>
  <c r="B99" i="2"/>
  <c r="B98" i="2"/>
  <c r="B88" i="2"/>
  <c r="B80" i="2"/>
  <c r="B79" i="2"/>
  <c r="B78" i="2"/>
  <c r="B71" i="2"/>
  <c r="B70" i="2"/>
  <c r="B69" i="2"/>
  <c r="B59" i="2"/>
  <c r="B58" i="2"/>
  <c r="B57" i="2"/>
  <c r="B51" i="2"/>
  <c r="B50" i="2"/>
  <c r="E53" i="2"/>
  <c r="D53" i="2" s="1"/>
  <c r="B49" i="2"/>
  <c r="B44" i="2"/>
  <c r="B43" i="2"/>
  <c r="B42" i="2"/>
  <c r="B37" i="2"/>
  <c r="B36" i="2"/>
  <c r="B35" i="2"/>
  <c r="B26" i="2"/>
  <c r="B25" i="2"/>
  <c r="B24" i="2"/>
  <c r="B18" i="2"/>
  <c r="B17" i="2"/>
  <c r="B16" i="2"/>
  <c r="B15" i="2"/>
  <c r="E45" i="2" l="1"/>
  <c r="D45" i="2" s="1"/>
  <c r="E19" i="2"/>
  <c r="E110" i="2" s="1"/>
  <c r="E29" i="2"/>
  <c r="E111" i="2" s="1"/>
  <c r="E83" i="2"/>
  <c r="E85" i="2" s="1"/>
  <c r="E91" i="2"/>
  <c r="D91" i="2" s="1"/>
  <c r="E61" i="2"/>
  <c r="E116" i="2"/>
  <c r="D100" i="2"/>
  <c r="E115" i="2"/>
  <c r="D89" i="2"/>
  <c r="E117" i="2"/>
  <c r="D29" i="2" l="1"/>
  <c r="E63" i="2"/>
  <c r="D63" i="2" s="1"/>
  <c r="D83" i="2"/>
  <c r="E114" i="2"/>
  <c r="D61" i="2"/>
  <c r="E112" i="2"/>
  <c r="D85" i="2"/>
  <c r="E113" i="2" l="1"/>
  <c r="E118" i="2"/>
  <c r="E119" i="2" s="1"/>
</calcChain>
</file>

<file path=xl/sharedStrings.xml><?xml version="1.0" encoding="utf-8"?>
<sst xmlns="http://schemas.openxmlformats.org/spreadsheetml/2006/main" count="368" uniqueCount="234">
  <si>
    <t>Nr.</t>
  </si>
  <si>
    <t>Gemeinde</t>
  </si>
  <si>
    <t>Ressourcen-
ausgleich</t>
  </si>
  <si>
    <t>Sonderlasten-ausgleich Weite</t>
  </si>
  <si>
    <t>Sonderlasten-ausgleich Schule</t>
  </si>
  <si>
    <t>Sonderlasten-ausgleich Soziales</t>
  </si>
  <si>
    <t>beschlossener Steuerfuss 2012</t>
  </si>
  <si>
    <t>beschlossener Steuerfuss 2011</t>
  </si>
  <si>
    <t>Einwohnerzahl am 31.12.11</t>
  </si>
  <si>
    <t>Einwohnerzahl am 31.12.12</t>
  </si>
  <si>
    <t>Einwohnerzahl mit Alter &gt; 80 am 31.12.12</t>
  </si>
  <si>
    <t>gewichtete Strassenlänge am 31.12.12</t>
  </si>
  <si>
    <t>Schülerzahl der Volksschule am 31.12.12</t>
  </si>
  <si>
    <t>Schülerzahl der Sonderschule am 31.12.12</t>
  </si>
  <si>
    <t>Nettoaufwand für Pflegekinder in Pflegefamilien</t>
  </si>
  <si>
    <t>Nettoaufwand für sozialpäd. Familienbegleitung</t>
  </si>
  <si>
    <t>Nettoaufwand für finanzielle Sozialhilfe</t>
  </si>
  <si>
    <t>Nettoaufwand für Mutterschafts-beiträge</t>
  </si>
  <si>
    <t>Nettoaufwand für Alimenten-bevorschussung</t>
  </si>
  <si>
    <t>Nettoaufwand für abreitsmarktliche Projekte</t>
  </si>
  <si>
    <t>Nettoaufwand für stationäre Pflege</t>
  </si>
  <si>
    <t>Einkommens- und Vermögenssteuer</t>
  </si>
  <si>
    <t>Quellensteuer</t>
  </si>
  <si>
    <t>Gewinn- und Kapitalsteuer</t>
  </si>
  <si>
    <t>Grundsteuer</t>
  </si>
  <si>
    <t>Technische Steuerkraft pro Einwohner der Gemeinde</t>
  </si>
  <si>
    <t>Ausgleichsfaktor nach Art. 9 FAG</t>
  </si>
  <si>
    <t>Beitrag pro gewichtetem Strassenkilometer</t>
  </si>
  <si>
    <t>Beitrag Stadt nach Art. 25 Abs. 1 FAG</t>
  </si>
  <si>
    <t>Beitrag Stadt nach Art. 25 Abs. 2 FAG</t>
  </si>
  <si>
    <t>St.Gallen</t>
  </si>
  <si>
    <t>Wittenbach</t>
  </si>
  <si>
    <t>Häggenschwil</t>
  </si>
  <si>
    <t>Muolen</t>
  </si>
  <si>
    <t>Mörschwil</t>
  </si>
  <si>
    <t>Goldach</t>
  </si>
  <si>
    <t>Steinach</t>
  </si>
  <si>
    <t>Berg</t>
  </si>
  <si>
    <t>Tübach</t>
  </si>
  <si>
    <t>Untereggen</t>
  </si>
  <si>
    <t>Eggersriet</t>
  </si>
  <si>
    <t>Rorschacherberg</t>
  </si>
  <si>
    <t>Rorschach</t>
  </si>
  <si>
    <t>Thal</t>
  </si>
  <si>
    <t>Rheineck</t>
  </si>
  <si>
    <t>St.Margrethen</t>
  </si>
  <si>
    <t>Au</t>
  </si>
  <si>
    <t>Berneck</t>
  </si>
  <si>
    <t>Balgach</t>
  </si>
  <si>
    <t>Diepoldsau</t>
  </si>
  <si>
    <t>Widnau</t>
  </si>
  <si>
    <t>Rebstein</t>
  </si>
  <si>
    <t>Marbach</t>
  </si>
  <si>
    <t>Altstätten</t>
  </si>
  <si>
    <t>Eichberg</t>
  </si>
  <si>
    <t>Oberriet</t>
  </si>
  <si>
    <t>Rüthi</t>
  </si>
  <si>
    <t>Sennwald</t>
  </si>
  <si>
    <t>Gams</t>
  </si>
  <si>
    <t>Grabs</t>
  </si>
  <si>
    <t>Buchs</t>
  </si>
  <si>
    <t>Sevelen</t>
  </si>
  <si>
    <t>Wartau</t>
  </si>
  <si>
    <t>Sargans</t>
  </si>
  <si>
    <t>Vilters-Wangs</t>
  </si>
  <si>
    <t>Bad Ragaz</t>
  </si>
  <si>
    <t>Pfäfers</t>
  </si>
  <si>
    <t>Mels</t>
  </si>
  <si>
    <t>Flums</t>
  </si>
  <si>
    <t>Walenstadt</t>
  </si>
  <si>
    <t>Quarten</t>
  </si>
  <si>
    <t>Amden</t>
  </si>
  <si>
    <t>Weesen</t>
  </si>
  <si>
    <t>Schänis</t>
  </si>
  <si>
    <t>Benken</t>
  </si>
  <si>
    <t>Kaltbrunn</t>
  </si>
  <si>
    <t>Gommiswald</t>
  </si>
  <si>
    <t>Uznach</t>
  </si>
  <si>
    <t>Schmerikon</t>
  </si>
  <si>
    <t>Rapperswil-Jona</t>
  </si>
  <si>
    <t>Eschenbach</t>
  </si>
  <si>
    <t>Wildhaus-Alt St.Johann</t>
  </si>
  <si>
    <t>Nesslau</t>
  </si>
  <si>
    <t>Ebnat-Kappel</t>
  </si>
  <si>
    <t>Wattwil</t>
  </si>
  <si>
    <t>Lichtensteig</t>
  </si>
  <si>
    <t>Oberhelfenschwil</t>
  </si>
  <si>
    <t>Neckertal</t>
  </si>
  <si>
    <t>Hemberg</t>
  </si>
  <si>
    <t>Bütschwil-Ganterschwil</t>
  </si>
  <si>
    <t>Lütisburg</t>
  </si>
  <si>
    <t>Mosnang</t>
  </si>
  <si>
    <t>Kirchberg</t>
  </si>
  <si>
    <t>Jonschwil</t>
  </si>
  <si>
    <t>Oberuzwil</t>
  </si>
  <si>
    <t>Uzwil</t>
  </si>
  <si>
    <t>Flawil</t>
  </si>
  <si>
    <t>Degersheim</t>
  </si>
  <si>
    <t>Wil</t>
  </si>
  <si>
    <t>Zuzwil</t>
  </si>
  <si>
    <t>Oberbüren</t>
  </si>
  <si>
    <t>Niederbüren</t>
  </si>
  <si>
    <t>Niederhelfenschwil</t>
  </si>
  <si>
    <t>Gossau</t>
  </si>
  <si>
    <t>Andwil</t>
  </si>
  <si>
    <t>Waldkirch</t>
  </si>
  <si>
    <t>Gaiserwald</t>
  </si>
  <si>
    <t>Total</t>
  </si>
  <si>
    <t>Kanton St.Gallen</t>
  </si>
  <si>
    <t>Amt für Gemeinden</t>
  </si>
  <si>
    <t>Politische Gemeinde:</t>
  </si>
  <si>
    <t>Rechnungsjahr:</t>
  </si>
  <si>
    <t>1. Stufe Finanzausgleich (Art. 5 bis 27 FAG)</t>
  </si>
  <si>
    <t>Ressourcenausgleich (Art. 5 bis 10 FAG)</t>
  </si>
  <si>
    <t>Formel gemäss Anhang 1 FAG</t>
  </si>
  <si>
    <r>
      <t>RA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= (ρ x tSTK</t>
    </r>
    <r>
      <rPr>
        <vertAlign val="subscript"/>
        <sz val="10"/>
        <rFont val="Arial"/>
        <family val="2"/>
      </rPr>
      <t>Kanton</t>
    </r>
    <r>
      <rPr>
        <sz val="10"/>
        <rFont val="Arial"/>
        <family val="2"/>
      </rPr>
      <t xml:space="preserve"> - tSTK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>) x 
(0.83 x SF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+ 0.17 x 150 Prozent) x BEV</t>
    </r>
    <r>
      <rPr>
        <vertAlign val="subscript"/>
        <sz val="10"/>
        <rFont val="Arial"/>
        <family val="2"/>
      </rPr>
      <t>Gemeinde</t>
    </r>
  </si>
  <si>
    <t>Ausgleichsfaktor</t>
  </si>
  <si>
    <t>ρ</t>
  </si>
  <si>
    <t>%</t>
  </si>
  <si>
    <r>
      <t>tSTK</t>
    </r>
    <r>
      <rPr>
        <vertAlign val="subscript"/>
        <sz val="10"/>
        <rFont val="Arial"/>
        <family val="2"/>
      </rPr>
      <t>Kanton</t>
    </r>
  </si>
  <si>
    <t>Fr.</t>
  </si>
  <si>
    <r>
      <t>tSTK</t>
    </r>
    <r>
      <rPr>
        <vertAlign val="subscript"/>
        <sz val="10"/>
        <rFont val="Arial"/>
        <family val="2"/>
      </rPr>
      <t>Gemeinde</t>
    </r>
  </si>
  <si>
    <r>
      <t>SF</t>
    </r>
    <r>
      <rPr>
        <vertAlign val="subscript"/>
        <sz val="10"/>
        <rFont val="Arial"/>
        <family val="2"/>
      </rPr>
      <t>Gemeinde</t>
    </r>
  </si>
  <si>
    <r>
      <t>BEV</t>
    </r>
    <r>
      <rPr>
        <vertAlign val="subscript"/>
        <sz val="10"/>
        <rFont val="Arial"/>
        <family val="2"/>
      </rPr>
      <t>Gemeinde</t>
    </r>
  </si>
  <si>
    <t>Ew</t>
  </si>
  <si>
    <r>
      <t>RA</t>
    </r>
    <r>
      <rPr>
        <b/>
        <vertAlign val="subscript"/>
        <sz val="10"/>
        <rFont val="Arial"/>
        <family val="2"/>
      </rPr>
      <t>Gemeinde</t>
    </r>
  </si>
  <si>
    <t>Sonderlastenausgleich Weite (Art. 11 - 17 FAG)</t>
  </si>
  <si>
    <t>Formel gemäss Anhang 2 FAG</t>
  </si>
  <si>
    <r>
      <t>Str</t>
    </r>
    <r>
      <rPr>
        <vertAlign val="subscript"/>
        <sz val="10"/>
        <rFont val="Arial"/>
        <family val="2"/>
      </rPr>
      <t>Gemeinde</t>
    </r>
  </si>
  <si>
    <t>km</t>
  </si>
  <si>
    <r>
      <t>Str</t>
    </r>
    <r>
      <rPr>
        <vertAlign val="subscript"/>
        <sz val="10"/>
        <rFont val="Arial"/>
        <family val="2"/>
      </rPr>
      <t>Kanton</t>
    </r>
  </si>
  <si>
    <t>Pauschalbetrag je gewichtetem Strassenkilometer, teuerungsbereinigt</t>
  </si>
  <si>
    <r>
      <t>M</t>
    </r>
    <r>
      <rPr>
        <vertAlign val="subscript"/>
        <sz val="10"/>
        <rFont val="Arial"/>
        <family val="2"/>
      </rPr>
      <t>Str</t>
    </r>
  </si>
  <si>
    <t>Kürzung gemäss Anhang 5 FAG</t>
  </si>
  <si>
    <r>
      <t>SLW</t>
    </r>
    <r>
      <rPr>
        <b/>
        <vertAlign val="subscript"/>
        <sz val="10"/>
        <rFont val="Arial"/>
        <family val="2"/>
      </rPr>
      <t>Gemeinde</t>
    </r>
  </si>
  <si>
    <t>Soziodemographischer Sonderlastenausgleich (Art. 17a -17i FAG)</t>
  </si>
  <si>
    <t>a) Unterbringung Kinder und Jugendliche</t>
  </si>
  <si>
    <t>Formel gemäss Anhang 2a Bst. a FAG</t>
  </si>
  <si>
    <t>b) Sozialhilfe</t>
  </si>
  <si>
    <t>Formel gemäss Anhang 2a Bst. b FAG</t>
  </si>
  <si>
    <t>c) Stationäre Pflege</t>
  </si>
  <si>
    <t>Formel gemäss Anhang 2a Bst. c FAG</t>
  </si>
  <si>
    <t>Faktor für Ermittlung des Ausgleichsbeitrages im Jahr 2014 (Abschnitt IV Art. 1 Bst. a der Übergangsbestimmungen FAG)</t>
  </si>
  <si>
    <t>Wert</t>
  </si>
  <si>
    <t>d) Ambulante Pflege</t>
  </si>
  <si>
    <t>Formel gemäss Anhang Abschnitt IV Art. 3 der Übergangsbestimmungen FAG</t>
  </si>
  <si>
    <t>Pauschalbetrag je Einwohner/in mit zurückgelegtem 80. Altersjahr</t>
  </si>
  <si>
    <r>
      <t>M</t>
    </r>
    <r>
      <rPr>
        <vertAlign val="subscript"/>
        <sz val="10"/>
        <rFont val="Arial"/>
        <family val="2"/>
      </rPr>
      <t>Amb</t>
    </r>
  </si>
  <si>
    <t>Sonderlastenausgleich Schule (Art. 18 - 23 FAG)</t>
  </si>
  <si>
    <t>a) Volksschule</t>
  </si>
  <si>
    <t>Formel gemäss Anhang 3a FAG</t>
  </si>
  <si>
    <t>Pauschalbetrag je Schüler/in in der Volksschule</t>
  </si>
  <si>
    <r>
      <t>M</t>
    </r>
    <r>
      <rPr>
        <vertAlign val="subscript"/>
        <sz val="10"/>
        <rFont val="Arial"/>
        <family val="2"/>
      </rPr>
      <t>Sch</t>
    </r>
  </si>
  <si>
    <t>b) Sonderschule</t>
  </si>
  <si>
    <t>Formel gemäss Anhang 3b FAG</t>
  </si>
  <si>
    <t>Pauschalbetrag je Schüler/in in der Sonderschule</t>
  </si>
  <si>
    <r>
      <t>M</t>
    </r>
    <r>
      <rPr>
        <vertAlign val="subscript"/>
        <sz val="10"/>
        <rFont val="Arial"/>
        <family val="2"/>
      </rPr>
      <t>SoSch</t>
    </r>
  </si>
  <si>
    <t>Sonderlastenausgleich Stadt St.Gallen (Art. 24 - 27 FAG)</t>
  </si>
  <si>
    <t>Beitrag nach Art. 25 Abs. 1 FAG, teuerungsbereinigt</t>
  </si>
  <si>
    <t>Basis: 7'500'000</t>
  </si>
  <si>
    <t>Beitrag nach Art. 25 Abs. 2 FAG, teuerungsbereinigt</t>
  </si>
  <si>
    <t>Basis: 9'000'000</t>
  </si>
  <si>
    <t>2. Stufe Finanzausgleich (Art. 31 bis 43 FAG)</t>
  </si>
  <si>
    <t>Formel gemäss Anhang 4 FAG</t>
  </si>
  <si>
    <t>Ausgleichsgrenze nach Art. 35 Abs. 2 FAG</t>
  </si>
  <si>
    <t>oder</t>
  </si>
  <si>
    <t>gemäss Regierungsbeschluss</t>
  </si>
  <si>
    <t>3. Stufe Finanzausgleich (Übergangsregelung nach Art. 49 bis 53 FAG)</t>
  </si>
  <si>
    <t>Ressourcenausgleich</t>
  </si>
  <si>
    <t>Sonderlastenausgleich Weite</t>
  </si>
  <si>
    <t>Sonderlastenausgleich Schule</t>
  </si>
  <si>
    <t>Soziodemographischer Sonderlastenausgleich</t>
  </si>
  <si>
    <t>Sonderlastenausgleich Stadt</t>
  </si>
  <si>
    <t>Partieller Steuerfussausgleich</t>
  </si>
  <si>
    <t>Individueller Sonderlastenausgleich</t>
  </si>
  <si>
    <t>Übergangsausgleich</t>
  </si>
  <si>
    <t>Beitrag pro Einwohner/in</t>
  </si>
  <si>
    <t>Basiszahlen</t>
  </si>
  <si>
    <t>Beiträge aus dem Finanzausgleich</t>
  </si>
  <si>
    <t>Grundlagedaten</t>
  </si>
  <si>
    <t>Weite</t>
  </si>
  <si>
    <t>Schule</t>
  </si>
  <si>
    <t>Soziodemographie</t>
  </si>
  <si>
    <t>Technische Steuerkraft im Durchschnitt von 2011/2012</t>
  </si>
  <si>
    <t>Faktoren</t>
  </si>
  <si>
    <t>Partieller Steuerfuss-ausgleich</t>
  </si>
  <si>
    <t>Individueller Sonderlasten-ausgleich</t>
  </si>
  <si>
    <t>Übergangs-ausgleich</t>
  </si>
  <si>
    <t>Nettoaufwand 
IVSE-A</t>
  </si>
  <si>
    <t>Handänderungs-steuer</t>
  </si>
  <si>
    <t>Grundstück-gewinnsteuer</t>
  </si>
  <si>
    <t>Technische Steuer-kraft pro Einwoh-ner/in im Kantons-durchschnitt</t>
  </si>
  <si>
    <t>Kürzungsfaktor für Gemeinden mit Steuerkraft über 94,5 % des Kan-tonsdurchschnitts</t>
  </si>
  <si>
    <t>Beitrag je über-durchschnittlichem Schüler der Volksschule</t>
  </si>
  <si>
    <t>Beitrag je über-durchschnittlichem Schüler der Sonderschule</t>
  </si>
  <si>
    <t>Beitrag je über-durchschnittlichem Betagtem</t>
  </si>
  <si>
    <t>Juni-Index 2013 der Konsumentenpreise</t>
  </si>
  <si>
    <r>
      <t>SLW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= (Str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- Str</t>
    </r>
    <r>
      <rPr>
        <vertAlign val="subscript"/>
        <sz val="10"/>
        <rFont val="Arial"/>
        <family val="2"/>
      </rPr>
      <t>Kanton</t>
    </r>
    <r>
      <rPr>
        <sz val="10"/>
        <rFont val="Arial"/>
        <family val="2"/>
      </rPr>
      <t>) x BEV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x M</t>
    </r>
    <r>
      <rPr>
        <vertAlign val="subscript"/>
        <sz val="10"/>
        <rFont val="Arial"/>
        <family val="2"/>
      </rPr>
      <t>Str</t>
    </r>
  </si>
  <si>
    <r>
      <t>SoKuJ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= (AufwKuJ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- AufwKuJ</t>
    </r>
    <r>
      <rPr>
        <vertAlign val="subscript"/>
        <sz val="10"/>
        <rFont val="Arial"/>
        <family val="2"/>
      </rPr>
      <t>Kanton</t>
    </r>
    <r>
      <rPr>
        <sz val="10"/>
        <rFont val="Arial"/>
        <family val="2"/>
      </rPr>
      <t>) x BEV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x 0.55</t>
    </r>
  </si>
  <si>
    <r>
      <t>SoSH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= (AufwSH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- AufwSH</t>
    </r>
    <r>
      <rPr>
        <vertAlign val="subscript"/>
        <sz val="10"/>
        <rFont val="Arial"/>
        <family val="2"/>
      </rPr>
      <t>Kanton</t>
    </r>
    <r>
      <rPr>
        <sz val="10"/>
        <rFont val="Arial"/>
        <family val="2"/>
      </rPr>
      <t>) x BEV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x 0.55</t>
    </r>
  </si>
  <si>
    <r>
      <t>SoStPf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= (AufwStPf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- AufwStPf</t>
    </r>
    <r>
      <rPr>
        <vertAlign val="subscript"/>
        <sz val="10"/>
        <rFont val="Arial"/>
        <family val="2"/>
      </rPr>
      <t>Kanton</t>
    </r>
    <r>
      <rPr>
        <sz val="10"/>
        <rFont val="Arial"/>
        <family val="2"/>
      </rPr>
      <t>) x BEV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x 0.55</t>
    </r>
  </si>
  <si>
    <r>
      <t>SoAmbPf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= (AQ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- AQ</t>
    </r>
    <r>
      <rPr>
        <vertAlign val="subscript"/>
        <sz val="10"/>
        <rFont val="Arial"/>
        <family val="2"/>
      </rPr>
      <t>Kanton</t>
    </r>
    <r>
      <rPr>
        <sz val="10"/>
        <rFont val="Arial"/>
        <family val="2"/>
      </rPr>
      <t>) x BEV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x M</t>
    </r>
    <r>
      <rPr>
        <vertAlign val="subscript"/>
        <sz val="10"/>
        <rFont val="Arial"/>
        <family val="2"/>
      </rPr>
      <t>Amb</t>
    </r>
  </si>
  <si>
    <r>
      <t>SLSch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= (SchQ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- SchQ</t>
    </r>
    <r>
      <rPr>
        <vertAlign val="subscript"/>
        <sz val="10"/>
        <rFont val="Arial"/>
        <family val="2"/>
      </rPr>
      <t>Kanton</t>
    </r>
    <r>
      <rPr>
        <sz val="10"/>
        <rFont val="Arial"/>
        <family val="2"/>
      </rPr>
      <t>) x BEV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x M</t>
    </r>
    <r>
      <rPr>
        <vertAlign val="subscript"/>
        <sz val="10"/>
        <rFont val="Arial"/>
        <family val="2"/>
      </rPr>
      <t>Sch</t>
    </r>
  </si>
  <si>
    <r>
      <t>SLSoSch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= (SoSchQ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- SoSchQ</t>
    </r>
    <r>
      <rPr>
        <vertAlign val="subscript"/>
        <sz val="10"/>
        <rFont val="Arial"/>
        <family val="2"/>
      </rPr>
      <t>Kanton</t>
    </r>
    <r>
      <rPr>
        <sz val="10"/>
        <rFont val="Arial"/>
        <family val="2"/>
      </rPr>
      <t>) x BEV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x M</t>
    </r>
    <r>
      <rPr>
        <vertAlign val="subscript"/>
        <sz val="10"/>
        <rFont val="Arial"/>
        <family val="2"/>
      </rPr>
      <t>SoSch</t>
    </r>
  </si>
  <si>
    <r>
      <t>SFA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= (SFv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- SF</t>
    </r>
    <r>
      <rPr>
        <vertAlign val="subscript"/>
        <sz val="10"/>
        <rFont val="Arial"/>
        <family val="2"/>
      </rPr>
      <t>145</t>
    </r>
    <r>
      <rPr>
        <sz val="10"/>
        <rFont val="Arial"/>
        <family val="2"/>
      </rPr>
      <t>) x 0.5 x BEV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x STK</t>
    </r>
    <r>
      <rPr>
        <vertAlign val="subscript"/>
        <sz val="10"/>
        <rFont val="Arial"/>
        <family val="2"/>
      </rPr>
      <t>Gemeinde</t>
    </r>
  </si>
  <si>
    <r>
      <rPr>
        <sz val="10"/>
        <rFont val="Arial"/>
        <family val="2"/>
      </rPr>
      <t>SFv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/>
    </r>
  </si>
  <si>
    <r>
      <rPr>
        <sz val="10"/>
        <rFont val="Arial"/>
        <family val="2"/>
      </rPr>
      <t>SF</t>
    </r>
    <r>
      <rPr>
        <vertAlign val="subscript"/>
        <sz val="10"/>
        <rFont val="Arial"/>
        <family val="2"/>
      </rPr>
      <t>145</t>
    </r>
    <r>
      <rPr>
        <sz val="10"/>
        <rFont val="Arial"/>
        <family val="2"/>
      </rPr>
      <t/>
    </r>
  </si>
  <si>
    <r>
      <rPr>
        <sz val="10"/>
        <rFont val="Arial"/>
        <family val="2"/>
      </rPr>
      <t>BEV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/>
    </r>
  </si>
  <si>
    <r>
      <rPr>
        <sz val="10"/>
        <rFont val="Arial"/>
        <family val="2"/>
      </rPr>
      <t>STK</t>
    </r>
    <r>
      <rPr>
        <vertAlign val="subscript"/>
        <sz val="10"/>
        <rFont val="Arial"/>
        <family val="2"/>
      </rPr>
      <t>Gemeinde</t>
    </r>
  </si>
  <si>
    <r>
      <t>SFA</t>
    </r>
    <r>
      <rPr>
        <b/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/>
    </r>
  </si>
  <si>
    <t>Technische Steuerkraft im Durchschnitt von 2011</t>
  </si>
  <si>
    <t>Technische Steuerkraft im Durchschnitt von 2012</t>
  </si>
  <si>
    <r>
      <rPr>
        <sz val="10"/>
        <rFont val="Arial"/>
        <family val="2"/>
      </rPr>
      <t>AufwKuJ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</si>
  <si>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r>
      <rPr>
        <sz val="10"/>
        <rFont val="Arial"/>
        <family val="2"/>
      </rPr>
      <t>AufwKuJ</t>
    </r>
    <r>
      <rPr>
        <vertAlign val="subscript"/>
        <sz val="10"/>
        <rFont val="Arial"/>
        <family val="2"/>
      </rPr>
      <t>Kanton</t>
    </r>
    <r>
      <rPr>
        <sz val="10"/>
        <color theme="1"/>
        <rFont val="Arial"/>
        <family val="2"/>
      </rPr>
      <t/>
    </r>
  </si>
  <si>
    <r>
      <rPr>
        <sz val="10"/>
        <rFont val="Arial"/>
        <family val="2"/>
      </rPr>
      <t>BEV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</si>
  <si>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r>
      <t>SoKuJ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</si>
  <si>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r>
      <rPr>
        <sz val="10"/>
        <rFont val="Arial"/>
        <family val="2"/>
      </rPr>
      <t>AufwSH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</si>
  <si>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r>
      <rPr>
        <sz val="10"/>
        <rFont val="Arial"/>
        <family val="2"/>
      </rPr>
      <t>AufwSH</t>
    </r>
    <r>
      <rPr>
        <vertAlign val="subscript"/>
        <sz val="10"/>
        <rFont val="Arial"/>
        <family val="2"/>
      </rPr>
      <t>Kanton</t>
    </r>
    <r>
      <rPr>
        <sz val="10"/>
        <color theme="1"/>
        <rFont val="Arial"/>
        <family val="2"/>
      </rPr>
      <t/>
    </r>
  </si>
  <si>
    <r>
      <t>SoSH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</si>
  <si>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r>
      <rPr>
        <sz val="10"/>
        <rFont val="Arial"/>
        <family val="2"/>
      </rPr>
      <t>AufwStPf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</si>
  <si>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r>
      <rPr>
        <sz val="10"/>
        <rFont val="Arial"/>
        <family val="2"/>
      </rPr>
      <t>AufwStPf</t>
    </r>
    <r>
      <rPr>
        <vertAlign val="subscript"/>
        <sz val="10"/>
        <rFont val="Arial"/>
        <family val="2"/>
      </rPr>
      <t>Kanton</t>
    </r>
    <r>
      <rPr>
        <sz val="10"/>
        <color theme="1"/>
        <rFont val="Arial"/>
        <family val="2"/>
      </rPr>
      <t/>
    </r>
  </si>
  <si>
    <r>
      <t>SoStPf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</si>
  <si>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r>
      <rPr>
        <sz val="10"/>
        <rFont val="Arial"/>
        <family val="2"/>
      </rPr>
      <t>AQ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</si>
  <si>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r>
      <rPr>
        <sz val="10"/>
        <rFont val="Arial"/>
        <family val="2"/>
      </rPr>
      <t>AQ</t>
    </r>
    <r>
      <rPr>
        <vertAlign val="subscript"/>
        <sz val="10"/>
        <rFont val="Arial"/>
        <family val="2"/>
      </rPr>
      <t>Kanton</t>
    </r>
    <r>
      <rPr>
        <sz val="10"/>
        <color theme="1"/>
        <rFont val="Arial"/>
        <family val="2"/>
      </rPr>
      <t/>
    </r>
  </si>
  <si>
    <r>
      <t>SoAmbPf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</si>
  <si>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r>
      <rPr>
        <sz val="10"/>
        <rFont val="Arial"/>
        <family val="2"/>
      </rPr>
      <t>SchQ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</si>
  <si>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r>
      <rPr>
        <sz val="10"/>
        <rFont val="Arial"/>
        <family val="2"/>
      </rPr>
      <t>SchQ</t>
    </r>
    <r>
      <rPr>
        <vertAlign val="subscript"/>
        <sz val="10"/>
        <rFont val="Arial"/>
        <family val="2"/>
      </rPr>
      <t>Kanton</t>
    </r>
    <r>
      <rPr>
        <sz val="10"/>
        <color theme="1"/>
        <rFont val="Arial"/>
        <family val="2"/>
      </rPr>
      <t/>
    </r>
  </si>
  <si>
    <r>
      <t>SLSch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</si>
  <si>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r>
      <rPr>
        <sz val="10"/>
        <rFont val="Arial"/>
        <family val="2"/>
      </rPr>
      <t>SoSchQ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</si>
  <si>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r>
      <rPr>
        <sz val="10"/>
        <rFont val="Arial"/>
        <family val="2"/>
      </rPr>
      <t>SoSchQ</t>
    </r>
    <r>
      <rPr>
        <vertAlign val="subscript"/>
        <sz val="10"/>
        <rFont val="Arial"/>
        <family val="2"/>
      </rPr>
      <t>Kanton</t>
    </r>
    <r>
      <rPr>
        <sz val="10"/>
        <color theme="1"/>
        <rFont val="Arial"/>
        <family val="2"/>
      </rPr>
      <t/>
    </r>
  </si>
  <si>
    <r>
      <t>SLSoSch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</si>
  <si>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t>Finanzausgleich 2014</t>
  </si>
  <si>
    <t>Zusammenzug Definitive Beiträge</t>
  </si>
  <si>
    <t>Total Definitive Beiträge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</si>
</sst>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 * #,##0_ ;_ * \-#,##0_ ;_ * &quot;-&quot;??_ ;_ @_ "/>
    <numFmt numFmtId="165" formatCode="_ * #,##0.000_ ;_ * \-#,##0.000_ ;_ * &quot;-&quot;??_ ;_ @_ "/>
    <numFmt numFmtId="166" formatCode="0.0%"/>
    <numFmt numFmtId="167" formatCode="_ * #,##0.000000_ ;_ * \-#,##0.000000_ ;_ * &quot;-&quot;??_ ;_ @_ "/>
    <numFmt numFmtId="168" formatCode="0.000%"/>
    <numFmt numFmtId="169" formatCode="#,##0.00_ ;\-#,##0.00\ "/>
  </numFmts>
  <fonts count="1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vertAlign val="subscript"/>
      <sz val="10"/>
      <name val="Arial"/>
      <family val="2"/>
    </font>
    <font>
      <b/>
      <vertAlign val="subscript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medium">
        <color theme="5" tint="-0.24994659260841701"/>
      </top>
      <bottom style="medium">
        <color theme="5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3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0" fillId="0" borderId="12" xfId="0" applyBorder="1" applyAlignment="1" applyProtection="1">
      <alignment horizontal="left" vertical="center"/>
      <protection hidden="1"/>
    </xf>
    <xf numFmtId="0" fontId="2" fillId="0" borderId="12" xfId="0" applyFont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5" fillId="3" borderId="6" xfId="0" applyFont="1" applyFill="1" applyBorder="1" applyAlignment="1" applyProtection="1">
      <alignment vertical="center"/>
      <protection hidden="1"/>
    </xf>
    <xf numFmtId="0" fontId="3" fillId="3" borderId="6" xfId="0" applyFont="1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5" fillId="3" borderId="2" xfId="0" applyFont="1" applyFill="1" applyBorder="1" applyAlignment="1" applyProtection="1">
      <alignment vertical="center"/>
      <protection hidden="1"/>
    </xf>
    <xf numFmtId="0" fontId="0" fillId="3" borderId="13" xfId="0" applyFill="1" applyBorder="1" applyAlignment="1" applyProtection="1">
      <alignment vertical="center"/>
      <protection hidden="1"/>
    </xf>
    <xf numFmtId="0" fontId="3" fillId="3" borderId="13" xfId="0" applyFont="1" applyFill="1" applyBorder="1" applyAlignment="1" applyProtection="1">
      <alignment vertical="center"/>
      <protection hidden="1"/>
    </xf>
    <xf numFmtId="0" fontId="3" fillId="3" borderId="13" xfId="0" applyFont="1" applyFill="1" applyBorder="1" applyAlignment="1" applyProtection="1">
      <alignment vertical="center" wrapText="1"/>
      <protection hidden="1"/>
    </xf>
    <xf numFmtId="43" fontId="0" fillId="3" borderId="0" xfId="0" applyNumberFormat="1" applyFill="1" applyProtection="1">
      <protection hidden="1"/>
    </xf>
    <xf numFmtId="0" fontId="3" fillId="3" borderId="0" xfId="0" applyFont="1" applyFill="1" applyProtection="1">
      <protection hidden="1"/>
    </xf>
    <xf numFmtId="166" fontId="0" fillId="3" borderId="0" xfId="2" applyNumberFormat="1" applyFont="1" applyFill="1" applyProtection="1">
      <protection hidden="1"/>
    </xf>
    <xf numFmtId="0" fontId="0" fillId="3" borderId="0" xfId="0" applyFill="1" applyProtection="1">
      <protection hidden="1"/>
    </xf>
    <xf numFmtId="43" fontId="0" fillId="3" borderId="0" xfId="1" applyFont="1" applyFill="1" applyProtection="1">
      <protection hidden="1"/>
    </xf>
    <xf numFmtId="10" fontId="0" fillId="3" borderId="0" xfId="2" applyNumberFormat="1" applyFont="1" applyFill="1" applyProtection="1">
      <protection hidden="1"/>
    </xf>
    <xf numFmtId="164" fontId="0" fillId="3" borderId="0" xfId="1" applyNumberFormat="1" applyFont="1" applyFill="1" applyProtection="1">
      <protection hidden="1"/>
    </xf>
    <xf numFmtId="0" fontId="5" fillId="3" borderId="10" xfId="0" applyFont="1" applyFill="1" applyBorder="1" applyAlignment="1" applyProtection="1">
      <alignment vertical="center"/>
      <protection hidden="1"/>
    </xf>
    <xf numFmtId="0" fontId="5" fillId="3" borderId="10" xfId="0" applyFont="1" applyFill="1" applyBorder="1" applyAlignment="1" applyProtection="1">
      <alignment vertical="center" wrapText="1"/>
      <protection hidden="1"/>
    </xf>
    <xf numFmtId="43" fontId="5" fillId="3" borderId="10" xfId="1" applyFont="1" applyFill="1" applyBorder="1" applyAlignment="1" applyProtection="1">
      <alignment vertical="center"/>
      <protection hidden="1"/>
    </xf>
    <xf numFmtId="0" fontId="0" fillId="3" borderId="13" xfId="0" applyFill="1" applyBorder="1" applyProtection="1">
      <protection hidden="1"/>
    </xf>
    <xf numFmtId="0" fontId="3" fillId="3" borderId="13" xfId="0" applyFont="1" applyFill="1" applyBorder="1" applyProtection="1">
      <protection hidden="1"/>
    </xf>
    <xf numFmtId="0" fontId="0" fillId="3" borderId="0" xfId="0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167" fontId="0" fillId="3" borderId="0" xfId="1" applyNumberFormat="1" applyFont="1" applyFill="1" applyAlignment="1" applyProtection="1">
      <alignment vertical="center"/>
      <protection hidden="1"/>
    </xf>
    <xf numFmtId="164" fontId="0" fillId="3" borderId="0" xfId="1" applyNumberFormat="1" applyFont="1" applyFill="1" applyAlignment="1" applyProtection="1">
      <alignment vertical="center"/>
      <protection hidden="1"/>
    </xf>
    <xf numFmtId="43" fontId="0" fillId="3" borderId="0" xfId="1" applyFont="1" applyFill="1" applyAlignment="1" applyProtection="1">
      <alignment vertical="center"/>
      <protection hidden="1"/>
    </xf>
    <xf numFmtId="10" fontId="0" fillId="3" borderId="0" xfId="2" applyNumberFormat="1" applyFont="1" applyFill="1" applyAlignment="1" applyProtection="1">
      <alignment vertical="center"/>
      <protection hidden="1"/>
    </xf>
    <xf numFmtId="0" fontId="5" fillId="4" borderId="0" xfId="0" applyFont="1" applyFill="1" applyAlignment="1" applyProtection="1">
      <alignment vertical="center"/>
      <protection hidden="1"/>
    </xf>
    <xf numFmtId="0" fontId="0" fillId="4" borderId="14" xfId="0" applyFill="1" applyBorder="1" applyAlignment="1" applyProtection="1">
      <alignment vertical="center"/>
      <protection hidden="1"/>
    </xf>
    <xf numFmtId="0" fontId="3" fillId="4" borderId="14" xfId="0" applyFont="1" applyFill="1" applyBorder="1" applyAlignment="1" applyProtection="1">
      <alignment vertical="center"/>
      <protection hidden="1"/>
    </xf>
    <xf numFmtId="0" fontId="0" fillId="4" borderId="0" xfId="0" applyFill="1" applyAlignment="1" applyProtection="1">
      <alignment vertical="center"/>
      <protection hidden="1"/>
    </xf>
    <xf numFmtId="0" fontId="3" fillId="4" borderId="0" xfId="0" applyFont="1" applyFill="1" applyAlignment="1" applyProtection="1">
      <alignment vertical="center"/>
      <protection hidden="1"/>
    </xf>
    <xf numFmtId="167" fontId="0" fillId="4" borderId="0" xfId="1" applyNumberFormat="1" applyFont="1" applyFill="1" applyAlignment="1" applyProtection="1">
      <alignment vertical="center"/>
      <protection hidden="1"/>
    </xf>
    <xf numFmtId="164" fontId="0" fillId="4" borderId="0" xfId="1" applyNumberFormat="1" applyFont="1" applyFill="1" applyAlignment="1" applyProtection="1">
      <alignment vertical="center"/>
      <protection hidden="1"/>
    </xf>
    <xf numFmtId="0" fontId="0" fillId="4" borderId="10" xfId="0" applyFill="1" applyBorder="1" applyAlignment="1" applyProtection="1">
      <alignment vertical="center"/>
      <protection hidden="1"/>
    </xf>
    <xf numFmtId="0" fontId="3" fillId="4" borderId="10" xfId="0" applyFont="1" applyFill="1" applyBorder="1" applyAlignment="1" applyProtection="1">
      <alignment vertical="center"/>
      <protection hidden="1"/>
    </xf>
    <xf numFmtId="43" fontId="0" fillId="4" borderId="10" xfId="1" applyFont="1" applyFill="1" applyBorder="1" applyAlignment="1" applyProtection="1">
      <alignment vertical="center"/>
      <protection hidden="1"/>
    </xf>
    <xf numFmtId="0" fontId="0" fillId="0" borderId="0" xfId="0" applyFill="1" applyProtection="1">
      <protection hidden="1"/>
    </xf>
    <xf numFmtId="0" fontId="5" fillId="4" borderId="6" xfId="0" applyFont="1" applyFill="1" applyBorder="1" applyAlignment="1" applyProtection="1">
      <alignment vertical="center"/>
      <protection hidden="1"/>
    </xf>
    <xf numFmtId="0" fontId="0" fillId="4" borderId="0" xfId="0" applyFill="1" applyProtection="1">
      <protection hidden="1"/>
    </xf>
    <xf numFmtId="0" fontId="3" fillId="4" borderId="0" xfId="0" applyFont="1" applyFill="1" applyAlignment="1" applyProtection="1">
      <alignment horizontal="left" vertical="center"/>
      <protection hidden="1"/>
    </xf>
    <xf numFmtId="43" fontId="0" fillId="4" borderId="0" xfId="1" applyFont="1" applyFill="1" applyAlignment="1" applyProtection="1">
      <alignment vertical="center"/>
      <protection hidden="1"/>
    </xf>
    <xf numFmtId="43" fontId="0" fillId="4" borderId="10" xfId="0" applyNumberFormat="1" applyFill="1" applyBorder="1" applyAlignment="1" applyProtection="1">
      <alignment vertical="center"/>
      <protection hidden="1"/>
    </xf>
    <xf numFmtId="0" fontId="5" fillId="4" borderId="13" xfId="0" applyFont="1" applyFill="1" applyBorder="1" applyAlignment="1" applyProtection="1">
      <alignment vertical="center"/>
      <protection hidden="1"/>
    </xf>
    <xf numFmtId="43" fontId="0" fillId="4" borderId="0" xfId="1" applyNumberFormat="1" applyFont="1" applyFill="1" applyAlignment="1" applyProtection="1">
      <alignment vertical="center"/>
      <protection hidden="1"/>
    </xf>
    <xf numFmtId="0" fontId="5" fillId="3" borderId="2" xfId="0" applyFont="1" applyFill="1" applyBorder="1" applyAlignment="1" applyProtection="1">
      <alignment vertical="center" wrapText="1"/>
      <protection hidden="1"/>
    </xf>
    <xf numFmtId="43" fontId="5" fillId="3" borderId="2" xfId="0" applyNumberFormat="1" applyFont="1" applyFill="1" applyBorder="1" applyAlignment="1" applyProtection="1">
      <alignment vertical="center"/>
      <protection hidden="1"/>
    </xf>
    <xf numFmtId="10" fontId="0" fillId="4" borderId="0" xfId="2" applyNumberFormat="1" applyFont="1" applyFill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top"/>
      <protection hidden="1"/>
    </xf>
    <xf numFmtId="0" fontId="5" fillId="0" borderId="0" xfId="0" applyFont="1" applyBorder="1" applyAlignment="1" applyProtection="1">
      <alignment vertical="center"/>
      <protection hidden="1"/>
    </xf>
    <xf numFmtId="168" fontId="0" fillId="3" borderId="0" xfId="2" applyNumberFormat="1" applyFont="1" applyFill="1" applyAlignment="1" applyProtection="1">
      <alignment vertical="center"/>
      <protection hidden="1"/>
    </xf>
    <xf numFmtId="43" fontId="0" fillId="3" borderId="0" xfId="1" applyNumberFormat="1" applyFont="1" applyFill="1" applyAlignment="1" applyProtection="1">
      <alignment vertical="center"/>
      <protection hidden="1"/>
    </xf>
    <xf numFmtId="43" fontId="5" fillId="3" borderId="10" xfId="0" applyNumberFormat="1" applyFont="1" applyFill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top" wrapText="1"/>
      <protection hidden="1"/>
    </xf>
    <xf numFmtId="0" fontId="2" fillId="0" borderId="15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0" fillId="5" borderId="13" xfId="0" applyFill="1" applyBorder="1" applyAlignment="1" applyProtection="1">
      <alignment vertical="center"/>
      <protection hidden="1"/>
    </xf>
    <xf numFmtId="0" fontId="3" fillId="5" borderId="13" xfId="0" applyFont="1" applyFill="1" applyBorder="1" applyAlignment="1" applyProtection="1">
      <alignment vertical="center"/>
      <protection hidden="1"/>
    </xf>
    <xf numFmtId="0" fontId="0" fillId="5" borderId="0" xfId="0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9" fontId="0" fillId="5" borderId="0" xfId="2" applyNumberFormat="1" applyFont="1" applyFill="1" applyAlignment="1" applyProtection="1">
      <alignment vertical="center"/>
      <protection hidden="1"/>
    </xf>
    <xf numFmtId="9" fontId="0" fillId="5" borderId="0" xfId="2" applyFont="1" applyFill="1" applyAlignment="1" applyProtection="1">
      <alignment vertical="center"/>
      <protection hidden="1"/>
    </xf>
    <xf numFmtId="164" fontId="0" fillId="5" borderId="0" xfId="1" applyNumberFormat="1" applyFont="1" applyFill="1" applyAlignment="1" applyProtection="1">
      <alignment vertical="center"/>
      <protection hidden="1"/>
    </xf>
    <xf numFmtId="43" fontId="0" fillId="5" borderId="0" xfId="1" applyNumberFormat="1" applyFont="1" applyFill="1" applyAlignment="1" applyProtection="1">
      <alignment vertical="center"/>
      <protection hidden="1"/>
    </xf>
    <xf numFmtId="0" fontId="5" fillId="5" borderId="10" xfId="0" applyFont="1" applyFill="1" applyBorder="1" applyAlignment="1" applyProtection="1">
      <alignment vertical="center"/>
      <protection hidden="1"/>
    </xf>
    <xf numFmtId="43" fontId="5" fillId="5" borderId="10" xfId="1" applyFont="1" applyFill="1" applyBorder="1" applyAlignment="1" applyProtection="1">
      <alignment vertical="center"/>
      <protection hidden="1"/>
    </xf>
    <xf numFmtId="0" fontId="8" fillId="5" borderId="10" xfId="0" applyFont="1" applyFill="1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43" fontId="5" fillId="5" borderId="10" xfId="1" applyNumberFormat="1" applyFont="1" applyFill="1" applyBorder="1" applyAlignment="1" applyProtection="1">
      <alignment horizontal="right" vertical="center"/>
      <protection hidden="1"/>
    </xf>
    <xf numFmtId="0" fontId="2" fillId="0" borderId="16" xfId="0" applyFont="1" applyBorder="1" applyAlignment="1" applyProtection="1">
      <alignment vertical="center"/>
      <protection hidden="1"/>
    </xf>
    <xf numFmtId="0" fontId="5" fillId="6" borderId="10" xfId="0" applyFont="1" applyFill="1" applyBorder="1" applyAlignment="1" applyProtection="1">
      <alignment vertical="center"/>
      <protection hidden="1"/>
    </xf>
    <xf numFmtId="43" fontId="5" fillId="6" borderId="10" xfId="1" applyNumberFormat="1" applyFont="1" applyFill="1" applyBorder="1" applyAlignment="1" applyProtection="1">
      <alignment horizontal="right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43" fontId="0" fillId="3" borderId="6" xfId="0" applyNumberFormat="1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43" fontId="0" fillId="3" borderId="0" xfId="0" applyNumberFormat="1" applyFill="1" applyBorder="1" applyAlignment="1" applyProtection="1">
      <alignment vertical="center"/>
      <protection hidden="1"/>
    </xf>
    <xf numFmtId="0" fontId="0" fillId="3" borderId="18" xfId="0" applyFill="1" applyBorder="1" applyAlignment="1" applyProtection="1">
      <alignment vertical="center"/>
      <protection hidden="1"/>
    </xf>
    <xf numFmtId="43" fontId="0" fillId="3" borderId="18" xfId="0" applyNumberFormat="1" applyFill="1" applyBorder="1" applyAlignment="1" applyProtection="1">
      <alignment vertical="center"/>
      <protection hidden="1"/>
    </xf>
    <xf numFmtId="0" fontId="0" fillId="5" borderId="19" xfId="0" applyFill="1" applyBorder="1" applyAlignment="1" applyProtection="1">
      <alignment vertical="center"/>
      <protection hidden="1"/>
    </xf>
    <xf numFmtId="43" fontId="0" fillId="5" borderId="19" xfId="1" applyFont="1" applyFill="1" applyBorder="1" applyAlignment="1" applyProtection="1">
      <alignment vertical="center"/>
      <protection hidden="1"/>
    </xf>
    <xf numFmtId="0" fontId="0" fillId="5" borderId="0" xfId="0" applyFill="1" applyBorder="1" applyAlignment="1" applyProtection="1">
      <alignment vertical="center"/>
      <protection hidden="1"/>
    </xf>
    <xf numFmtId="43" fontId="0" fillId="5" borderId="0" xfId="1" applyFont="1" applyFill="1" applyBorder="1" applyAlignment="1" applyProtection="1">
      <alignment vertical="center"/>
      <protection hidden="1"/>
    </xf>
    <xf numFmtId="0" fontId="0" fillId="6" borderId="14" xfId="0" applyFill="1" applyBorder="1" applyAlignment="1" applyProtection="1">
      <alignment vertical="center"/>
      <protection hidden="1"/>
    </xf>
    <xf numFmtId="43" fontId="0" fillId="6" borderId="14" xfId="0" applyNumberFormat="1" applyFill="1" applyBorder="1" applyAlignment="1" applyProtection="1">
      <alignment vertical="center"/>
      <protection hidden="1"/>
    </xf>
    <xf numFmtId="0" fontId="5" fillId="2" borderId="20" xfId="0" applyFont="1" applyFill="1" applyBorder="1" applyAlignment="1" applyProtection="1">
      <alignment vertical="center"/>
      <protection hidden="1"/>
    </xf>
    <xf numFmtId="43" fontId="5" fillId="2" borderId="20" xfId="0" applyNumberFormat="1" applyFont="1" applyFill="1" applyBorder="1" applyAlignment="1" applyProtection="1">
      <alignment vertical="center"/>
      <protection hidden="1"/>
    </xf>
    <xf numFmtId="0" fontId="0" fillId="2" borderId="10" xfId="0" applyFill="1" applyBorder="1" applyAlignment="1" applyProtection="1">
      <alignment vertical="center"/>
      <protection hidden="1"/>
    </xf>
    <xf numFmtId="43" fontId="0" fillId="2" borderId="10" xfId="0" applyNumberFormat="1" applyFill="1" applyBorder="1" applyAlignment="1" applyProtection="1">
      <alignment vertical="center"/>
      <protection hidden="1"/>
    </xf>
    <xf numFmtId="0" fontId="2" fillId="0" borderId="0" xfId="0" applyFont="1" applyBorder="1" applyProtection="1">
      <protection hidden="1"/>
    </xf>
    <xf numFmtId="0" fontId="2" fillId="0" borderId="0" xfId="0" applyFont="1" applyBorder="1" applyAlignment="1" applyProtection="1">
      <alignment horizontal="left"/>
      <protection hidden="1"/>
    </xf>
    <xf numFmtId="164" fontId="4" fillId="0" borderId="0" xfId="1" applyNumberFormat="1" applyFont="1" applyBorder="1" applyProtection="1">
      <protection hidden="1"/>
    </xf>
    <xf numFmtId="0" fontId="5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left"/>
      <protection hidden="1"/>
    </xf>
    <xf numFmtId="0" fontId="4" fillId="0" borderId="4" xfId="0" applyFont="1" applyBorder="1" applyProtection="1">
      <protection hidden="1"/>
    </xf>
    <xf numFmtId="0" fontId="4" fillId="0" borderId="5" xfId="0" applyFont="1" applyBorder="1" applyAlignment="1" applyProtection="1">
      <alignment horizontal="left"/>
      <protection hidden="1"/>
    </xf>
    <xf numFmtId="0" fontId="4" fillId="0" borderId="9" xfId="0" applyFont="1" applyBorder="1" applyAlignment="1" applyProtection="1">
      <protection hidden="1"/>
    </xf>
    <xf numFmtId="0" fontId="4" fillId="0" borderId="10" xfId="0" applyFont="1" applyBorder="1" applyAlignment="1" applyProtection="1">
      <protection hidden="1"/>
    </xf>
    <xf numFmtId="4" fontId="4" fillId="0" borderId="10" xfId="1" applyNumberFormat="1" applyFont="1" applyBorder="1" applyProtection="1">
      <protection hidden="1"/>
    </xf>
    <xf numFmtId="0" fontId="4" fillId="0" borderId="11" xfId="0" applyFont="1" applyBorder="1" applyAlignment="1" applyProtection="1">
      <protection hidden="1"/>
    </xf>
    <xf numFmtId="4" fontId="4" fillId="0" borderId="4" xfId="1" applyNumberFormat="1" applyFont="1" applyBorder="1" applyProtection="1">
      <protection hidden="1"/>
    </xf>
    <xf numFmtId="4" fontId="4" fillId="0" borderId="6" xfId="1" applyNumberFormat="1" applyFont="1" applyBorder="1" applyProtection="1">
      <protection hidden="1"/>
    </xf>
    <xf numFmtId="4" fontId="4" fillId="0" borderId="21" xfId="1" applyNumberFormat="1" applyFont="1" applyBorder="1" applyProtection="1">
      <protection hidden="1"/>
    </xf>
    <xf numFmtId="4" fontId="4" fillId="0" borderId="9" xfId="1" applyNumberFormat="1" applyFont="1" applyBorder="1" applyProtection="1">
      <protection hidden="1"/>
    </xf>
    <xf numFmtId="0" fontId="4" fillId="0" borderId="11" xfId="0" applyFont="1" applyBorder="1" applyProtection="1">
      <protection hidden="1"/>
    </xf>
    <xf numFmtId="0" fontId="4" fillId="0" borderId="0" xfId="0" applyFont="1" applyBorder="1" applyProtection="1">
      <protection hidden="1"/>
    </xf>
    <xf numFmtId="0" fontId="4" fillId="0" borderId="1" xfId="0" applyFont="1" applyFill="1" applyBorder="1" applyAlignment="1" applyProtection="1">
      <alignment vertical="center" wrapText="1"/>
      <protection hidden="1"/>
    </xf>
    <xf numFmtId="0" fontId="4" fillId="0" borderId="3" xfId="0" applyFont="1" applyFill="1" applyBorder="1" applyAlignment="1" applyProtection="1">
      <alignment horizontal="left" vertical="center" wrapText="1"/>
      <protection hidden="1"/>
    </xf>
    <xf numFmtId="0" fontId="4" fillId="0" borderId="9" xfId="0" applyFont="1" applyFill="1" applyBorder="1" applyAlignment="1" applyProtection="1">
      <alignment textRotation="90" wrapText="1"/>
      <protection hidden="1"/>
    </xf>
    <xf numFmtId="0" fontId="4" fillId="0" borderId="10" xfId="0" applyFont="1" applyFill="1" applyBorder="1" applyAlignment="1" applyProtection="1">
      <alignment textRotation="90" wrapText="1"/>
      <protection hidden="1"/>
    </xf>
    <xf numFmtId="4" fontId="4" fillId="0" borderId="10" xfId="1" applyNumberFormat="1" applyFont="1" applyBorder="1" applyAlignment="1" applyProtection="1">
      <alignment horizontal="right" textRotation="90" wrapText="1"/>
      <protection hidden="1"/>
    </xf>
    <xf numFmtId="0" fontId="4" fillId="0" borderId="11" xfId="0" applyFont="1" applyFill="1" applyBorder="1" applyAlignment="1" applyProtection="1">
      <alignment textRotation="90" wrapText="1"/>
      <protection hidden="1"/>
    </xf>
    <xf numFmtId="4" fontId="4" fillId="0" borderId="9" xfId="1" applyNumberFormat="1" applyFont="1" applyBorder="1" applyAlignment="1" applyProtection="1">
      <alignment horizontal="right" textRotation="90" wrapText="1"/>
      <protection hidden="1"/>
    </xf>
    <xf numFmtId="4" fontId="4" fillId="0" borderId="21" xfId="1" applyNumberFormat="1" applyFont="1" applyBorder="1" applyAlignment="1" applyProtection="1">
      <alignment horizontal="right" textRotation="90" wrapText="1"/>
      <protection hidden="1"/>
    </xf>
    <xf numFmtId="4" fontId="4" fillId="0" borderId="11" xfId="1" applyNumberFormat="1" applyFont="1" applyBorder="1" applyAlignment="1" applyProtection="1">
      <alignment horizontal="right" textRotation="90" wrapText="1"/>
      <protection hidden="1"/>
    </xf>
    <xf numFmtId="0" fontId="4" fillId="0" borderId="21" xfId="0" applyFont="1" applyFill="1" applyBorder="1" applyAlignment="1" applyProtection="1">
      <alignment textRotation="90" wrapText="1"/>
      <protection hidden="1"/>
    </xf>
    <xf numFmtId="0" fontId="4" fillId="0" borderId="0" xfId="0" applyFont="1" applyFill="1" applyBorder="1" applyAlignment="1" applyProtection="1">
      <alignment wrapText="1"/>
      <protection hidden="1"/>
    </xf>
    <xf numFmtId="1" fontId="4" fillId="0" borderId="4" xfId="0" applyNumberFormat="1" applyFont="1" applyFill="1" applyBorder="1" applyAlignment="1" applyProtection="1">
      <alignment horizontal="center"/>
      <protection hidden="1"/>
    </xf>
    <xf numFmtId="0" fontId="4" fillId="0" borderId="5" xfId="0" applyFont="1" applyBorder="1" applyAlignment="1" applyProtection="1">
      <alignment horizontal="left" wrapText="1"/>
      <protection hidden="1"/>
    </xf>
    <xf numFmtId="164" fontId="4" fillId="0" borderId="4" xfId="1" applyNumberFormat="1" applyFont="1" applyBorder="1" applyProtection="1">
      <protection hidden="1"/>
    </xf>
    <xf numFmtId="164" fontId="4" fillId="0" borderId="6" xfId="1" applyNumberFormat="1" applyFont="1" applyBorder="1" applyProtection="1">
      <protection hidden="1"/>
    </xf>
    <xf numFmtId="3" fontId="4" fillId="0" borderId="6" xfId="0" applyNumberFormat="1" applyFont="1" applyBorder="1" applyProtection="1">
      <protection hidden="1"/>
    </xf>
    <xf numFmtId="164" fontId="4" fillId="0" borderId="5" xfId="1" applyNumberFormat="1" applyFont="1" applyBorder="1" applyProtection="1">
      <protection hidden="1"/>
    </xf>
    <xf numFmtId="9" fontId="4" fillId="0" borderId="4" xfId="2" applyNumberFormat="1" applyFont="1" applyBorder="1" applyProtection="1">
      <protection hidden="1"/>
    </xf>
    <xf numFmtId="9" fontId="4" fillId="0" borderId="6" xfId="0" applyNumberFormat="1" applyFont="1" applyBorder="1" applyProtection="1">
      <protection hidden="1"/>
    </xf>
    <xf numFmtId="165" fontId="4" fillId="0" borderId="22" xfId="1" applyNumberFormat="1" applyFont="1" applyBorder="1" applyProtection="1">
      <protection hidden="1"/>
    </xf>
    <xf numFmtId="3" fontId="4" fillId="0" borderId="4" xfId="0" applyNumberFormat="1" applyFont="1" applyBorder="1" applyProtection="1">
      <protection hidden="1"/>
    </xf>
    <xf numFmtId="4" fontId="4" fillId="0" borderId="4" xfId="0" applyNumberFormat="1" applyFont="1" applyBorder="1" applyProtection="1">
      <protection hidden="1"/>
    </xf>
    <xf numFmtId="4" fontId="4" fillId="0" borderId="6" xfId="0" applyNumberFormat="1" applyFont="1" applyBorder="1" applyProtection="1">
      <protection hidden="1"/>
    </xf>
    <xf numFmtId="4" fontId="4" fillId="0" borderId="5" xfId="0" applyNumberFormat="1" applyFont="1" applyBorder="1" applyProtection="1">
      <protection hidden="1"/>
    </xf>
    <xf numFmtId="43" fontId="4" fillId="0" borderId="22" xfId="1" applyFont="1" applyBorder="1" applyProtection="1">
      <protection hidden="1"/>
    </xf>
    <xf numFmtId="43" fontId="4" fillId="0" borderId="4" xfId="1" applyFont="1" applyBorder="1" applyProtection="1">
      <protection hidden="1"/>
    </xf>
    <xf numFmtId="166" fontId="4" fillId="0" borderId="4" xfId="2" applyNumberFormat="1" applyFont="1" applyBorder="1" applyProtection="1">
      <protection hidden="1"/>
    </xf>
    <xf numFmtId="10" fontId="4" fillId="0" borderId="5" xfId="2" applyNumberFormat="1" applyFont="1" applyBorder="1" applyProtection="1">
      <protection hidden="1"/>
    </xf>
    <xf numFmtId="166" fontId="4" fillId="0" borderId="22" xfId="2" applyNumberFormat="1" applyFont="1" applyBorder="1" applyProtection="1">
      <protection hidden="1"/>
    </xf>
    <xf numFmtId="1" fontId="4" fillId="2" borderId="7" xfId="0" applyNumberFormat="1" applyFont="1" applyFill="1" applyBorder="1" applyAlignment="1" applyProtection="1">
      <alignment horizontal="center"/>
      <protection hidden="1"/>
    </xf>
    <xf numFmtId="0" fontId="4" fillId="2" borderId="8" xfId="0" applyFont="1" applyFill="1" applyBorder="1" applyAlignment="1" applyProtection="1">
      <alignment horizontal="left" wrapText="1"/>
      <protection hidden="1"/>
    </xf>
    <xf numFmtId="164" fontId="4" fillId="2" borderId="7" xfId="1" applyNumberFormat="1" applyFont="1" applyFill="1" applyBorder="1" applyProtection="1">
      <protection hidden="1"/>
    </xf>
    <xf numFmtId="164" fontId="4" fillId="2" borderId="0" xfId="1" applyNumberFormat="1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4" fontId="4" fillId="2" borderId="8" xfId="1" applyNumberFormat="1" applyFont="1" applyFill="1" applyBorder="1" applyProtection="1">
      <protection hidden="1"/>
    </xf>
    <xf numFmtId="9" fontId="4" fillId="2" borderId="7" xfId="2" applyNumberFormat="1" applyFont="1" applyFill="1" applyBorder="1" applyProtection="1">
      <protection hidden="1"/>
    </xf>
    <xf numFmtId="9" fontId="4" fillId="2" borderId="0" xfId="0" applyNumberFormat="1" applyFont="1" applyFill="1" applyBorder="1" applyProtection="1">
      <protection hidden="1"/>
    </xf>
    <xf numFmtId="165" fontId="4" fillId="2" borderId="23" xfId="1" applyNumberFormat="1" applyFont="1" applyFill="1" applyBorder="1" applyProtection="1">
      <protection hidden="1"/>
    </xf>
    <xf numFmtId="3" fontId="4" fillId="2" borderId="7" xfId="0" applyNumberFormat="1" applyFont="1" applyFill="1" applyBorder="1" applyProtection="1">
      <protection hidden="1"/>
    </xf>
    <xf numFmtId="3" fontId="4" fillId="2" borderId="0" xfId="0" applyNumberFormat="1" applyFont="1" applyFill="1" applyBorder="1" applyProtection="1">
      <protection hidden="1"/>
    </xf>
    <xf numFmtId="4" fontId="4" fillId="2" borderId="7" xfId="0" applyNumberFormat="1" applyFont="1" applyFill="1" applyBorder="1" applyProtection="1">
      <protection hidden="1"/>
    </xf>
    <xf numFmtId="4" fontId="4" fillId="2" borderId="0" xfId="0" applyNumberFormat="1" applyFont="1" applyFill="1" applyBorder="1" applyProtection="1">
      <protection hidden="1"/>
    </xf>
    <xf numFmtId="4" fontId="4" fillId="2" borderId="0" xfId="1" applyNumberFormat="1" applyFont="1" applyFill="1" applyBorder="1" applyProtection="1">
      <protection hidden="1"/>
    </xf>
    <xf numFmtId="4" fontId="4" fillId="2" borderId="8" xfId="0" applyNumberFormat="1" applyFont="1" applyFill="1" applyBorder="1" applyProtection="1">
      <protection hidden="1"/>
    </xf>
    <xf numFmtId="43" fontId="4" fillId="2" borderId="23" xfId="1" applyFont="1" applyFill="1" applyBorder="1" applyProtection="1">
      <protection hidden="1"/>
    </xf>
    <xf numFmtId="43" fontId="4" fillId="2" borderId="7" xfId="1" applyFont="1" applyFill="1" applyBorder="1" applyProtection="1">
      <protection hidden="1"/>
    </xf>
    <xf numFmtId="166" fontId="4" fillId="2" borderId="7" xfId="2" applyNumberFormat="1" applyFont="1" applyFill="1" applyBorder="1" applyProtection="1">
      <protection hidden="1"/>
    </xf>
    <xf numFmtId="10" fontId="4" fillId="2" borderId="8" xfId="2" applyNumberFormat="1" applyFont="1" applyFill="1" applyBorder="1" applyProtection="1">
      <protection hidden="1"/>
    </xf>
    <xf numFmtId="0" fontId="4" fillId="2" borderId="23" xfId="0" applyFont="1" applyFill="1" applyBorder="1" applyProtection="1">
      <protection hidden="1"/>
    </xf>
    <xf numFmtId="1" fontId="4" fillId="0" borderId="7" xfId="0" applyNumberFormat="1" applyFont="1" applyFill="1" applyBorder="1" applyAlignment="1" applyProtection="1">
      <alignment horizontal="center"/>
      <protection hidden="1"/>
    </xf>
    <xf numFmtId="0" fontId="4" fillId="0" borderId="8" xfId="0" applyFont="1" applyBorder="1" applyAlignment="1" applyProtection="1">
      <alignment horizontal="left" wrapText="1"/>
      <protection hidden="1"/>
    </xf>
    <xf numFmtId="164" fontId="4" fillId="0" borderId="7" xfId="1" applyNumberFormat="1" applyFont="1" applyBorder="1" applyProtection="1">
      <protection hidden="1"/>
    </xf>
    <xf numFmtId="164" fontId="4" fillId="0" borderId="8" xfId="1" applyNumberFormat="1" applyFont="1" applyBorder="1" applyProtection="1">
      <protection hidden="1"/>
    </xf>
    <xf numFmtId="9" fontId="4" fillId="0" borderId="7" xfId="2" applyNumberFormat="1" applyFont="1" applyBorder="1" applyProtection="1">
      <protection hidden="1"/>
    </xf>
    <xf numFmtId="9" fontId="4" fillId="0" borderId="0" xfId="0" applyNumberFormat="1" applyFont="1" applyBorder="1" applyProtection="1">
      <protection hidden="1"/>
    </xf>
    <xf numFmtId="165" fontId="4" fillId="0" borderId="23" xfId="1" applyNumberFormat="1" applyFont="1" applyBorder="1" applyProtection="1">
      <protection hidden="1"/>
    </xf>
    <xf numFmtId="3" fontId="4" fillId="0" borderId="7" xfId="0" applyNumberFormat="1" applyFont="1" applyBorder="1" applyProtection="1">
      <protection hidden="1"/>
    </xf>
    <xf numFmtId="3" fontId="4" fillId="0" borderId="0" xfId="0" applyNumberFormat="1" applyFont="1" applyBorder="1" applyProtection="1">
      <protection hidden="1"/>
    </xf>
    <xf numFmtId="4" fontId="4" fillId="0" borderId="7" xfId="0" applyNumberFormat="1" applyFont="1" applyBorder="1" applyProtection="1">
      <protection hidden="1"/>
    </xf>
    <xf numFmtId="4" fontId="4" fillId="0" borderId="0" xfId="0" applyNumberFormat="1" applyFont="1" applyBorder="1" applyProtection="1">
      <protection hidden="1"/>
    </xf>
    <xf numFmtId="4" fontId="4" fillId="0" borderId="0" xfId="1" applyNumberFormat="1" applyFont="1" applyBorder="1" applyProtection="1">
      <protection hidden="1"/>
    </xf>
    <xf numFmtId="4" fontId="4" fillId="0" borderId="8" xfId="0" applyNumberFormat="1" applyFont="1" applyBorder="1" applyProtection="1">
      <protection hidden="1"/>
    </xf>
    <xf numFmtId="43" fontId="4" fillId="0" borderId="23" xfId="1" applyFont="1" applyBorder="1" applyProtection="1">
      <protection hidden="1"/>
    </xf>
    <xf numFmtId="43" fontId="4" fillId="0" borderId="7" xfId="1" applyFont="1" applyBorder="1" applyProtection="1">
      <protection hidden="1"/>
    </xf>
    <xf numFmtId="166" fontId="4" fillId="0" borderId="7" xfId="2" applyNumberFormat="1" applyFont="1" applyBorder="1" applyProtection="1">
      <protection hidden="1"/>
    </xf>
    <xf numFmtId="10" fontId="4" fillId="0" borderId="8" xfId="2" applyNumberFormat="1" applyFont="1" applyBorder="1" applyProtection="1">
      <protection hidden="1"/>
    </xf>
    <xf numFmtId="0" fontId="4" fillId="0" borderId="23" xfId="0" applyFont="1" applyBorder="1" applyProtection="1">
      <protection hidden="1"/>
    </xf>
    <xf numFmtId="0" fontId="6" fillId="0" borderId="9" xfId="0" applyFont="1" applyBorder="1" applyProtection="1">
      <protection hidden="1"/>
    </xf>
    <xf numFmtId="0" fontId="6" fillId="0" borderId="11" xfId="0" applyFont="1" applyBorder="1" applyAlignment="1" applyProtection="1">
      <alignment horizontal="left"/>
      <protection hidden="1"/>
    </xf>
    <xf numFmtId="164" fontId="6" fillId="0" borderId="9" xfId="1" applyNumberFormat="1" applyFont="1" applyBorder="1" applyProtection="1">
      <protection hidden="1"/>
    </xf>
    <xf numFmtId="0" fontId="6" fillId="0" borderId="10" xfId="0" applyFont="1" applyBorder="1" applyProtection="1">
      <protection hidden="1"/>
    </xf>
    <xf numFmtId="164" fontId="6" fillId="0" borderId="10" xfId="0" applyNumberFormat="1" applyFont="1" applyBorder="1" applyProtection="1">
      <protection hidden="1"/>
    </xf>
    <xf numFmtId="164" fontId="6" fillId="0" borderId="11" xfId="0" applyNumberFormat="1" applyFont="1" applyBorder="1" applyProtection="1">
      <protection hidden="1"/>
    </xf>
    <xf numFmtId="165" fontId="6" fillId="0" borderId="21" xfId="0" applyNumberFormat="1" applyFont="1" applyBorder="1" applyProtection="1">
      <protection hidden="1"/>
    </xf>
    <xf numFmtId="164" fontId="6" fillId="0" borderId="9" xfId="0" applyNumberFormat="1" applyFont="1" applyBorder="1" applyProtection="1">
      <protection hidden="1"/>
    </xf>
    <xf numFmtId="43" fontId="6" fillId="0" borderId="9" xfId="0" applyNumberFormat="1" applyFont="1" applyBorder="1" applyProtection="1">
      <protection hidden="1"/>
    </xf>
    <xf numFmtId="43" fontId="6" fillId="0" borderId="10" xfId="0" applyNumberFormat="1" applyFont="1" applyBorder="1" applyProtection="1">
      <protection hidden="1"/>
    </xf>
    <xf numFmtId="43" fontId="6" fillId="0" borderId="11" xfId="0" applyNumberFormat="1" applyFont="1" applyBorder="1" applyProtection="1">
      <protection hidden="1"/>
    </xf>
    <xf numFmtId="43" fontId="6" fillId="0" borderId="21" xfId="0" applyNumberFormat="1" applyFont="1" applyBorder="1" applyProtection="1">
      <protection hidden="1"/>
    </xf>
    <xf numFmtId="0" fontId="6" fillId="0" borderId="21" xfId="0" applyFont="1" applyBorder="1" applyProtection="1">
      <protection hidden="1"/>
    </xf>
    <xf numFmtId="0" fontId="6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left"/>
      <protection hidden="1"/>
    </xf>
    <xf numFmtId="0" fontId="8" fillId="0" borderId="24" xfId="0" applyFont="1" applyBorder="1" applyAlignment="1" applyProtection="1">
      <alignment vertical="center"/>
      <protection locked="0" hidden="1"/>
    </xf>
    <xf numFmtId="0" fontId="8" fillId="0" borderId="24" xfId="0" applyFont="1" applyBorder="1" applyAlignment="1" applyProtection="1">
      <alignment horizontal="left" vertical="center"/>
      <protection locked="0" hidden="1"/>
    </xf>
    <xf numFmtId="169" fontId="0" fillId="0" borderId="0" xfId="0" applyNumberFormat="1" applyProtection="1">
      <protection hidden="1"/>
    </xf>
    <xf numFmtId="0" fontId="3" fillId="0" borderId="0" xfId="0" applyFont="1" applyBorder="1" applyProtection="1">
      <protection hidden="1"/>
    </xf>
    <xf numFmtId="43" fontId="4" fillId="0" borderId="6" xfId="1" applyFont="1" applyBorder="1" applyProtection="1">
      <protection hidden="1"/>
    </xf>
    <xf numFmtId="43" fontId="4" fillId="0" borderId="5" xfId="1" applyFont="1" applyBorder="1" applyProtection="1">
      <protection hidden="1"/>
    </xf>
    <xf numFmtId="43" fontId="4" fillId="0" borderId="0" xfId="1" applyFont="1" applyBorder="1" applyProtection="1">
      <protection hidden="1"/>
    </xf>
    <xf numFmtId="43" fontId="4" fillId="2" borderId="0" xfId="1" applyFont="1" applyFill="1" applyBorder="1" applyProtection="1">
      <protection hidden="1"/>
    </xf>
    <xf numFmtId="43" fontId="4" fillId="2" borderId="8" xfId="1" applyFont="1" applyFill="1" applyBorder="1" applyProtection="1">
      <protection hidden="1"/>
    </xf>
    <xf numFmtId="43" fontId="4" fillId="0" borderId="8" xfId="1" applyFont="1" applyBorder="1" applyProtection="1">
      <protection hidden="1"/>
    </xf>
    <xf numFmtId="43" fontId="4" fillId="0" borderId="25" xfId="1" applyFont="1" applyBorder="1" applyProtection="1">
      <protection hidden="1"/>
    </xf>
    <xf numFmtId="0" fontId="4" fillId="2" borderId="5" xfId="0" applyFont="1" applyFill="1" applyBorder="1" applyAlignment="1" applyProtection="1">
      <alignment horizontal="left" wrapText="1"/>
      <protection hidden="1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9"/>
  <sheetViews>
    <sheetView tabSelected="1" zoomScaleNormal="100" workbookViewId="0">
      <selection activeCell="C5" sqref="C5"/>
    </sheetView>
  </sheetViews>
  <sheetFormatPr baseColWidth="10" defaultColWidth="0" defaultRowHeight="12.75" zeroHeight="1" x14ac:dyDescent="0.2"/>
  <cols>
    <col min="1" max="1" width="1.85546875" style="7" customWidth="1"/>
    <col min="2" max="2" width="115.42578125" style="7" customWidth="1"/>
    <col min="3" max="3" width="65.140625" style="7" bestFit="1" customWidth="1"/>
    <col min="4" max="4" width="5.42578125" style="7" customWidth="1"/>
    <col min="5" max="5" width="16.140625" style="7" customWidth="1"/>
    <col min="6" max="6" width="1.85546875" style="7" customWidth="1"/>
    <col min="7" max="20" width="11.42578125" style="7" hidden="1" customWidth="1"/>
    <col min="21" max="21" width="17.85546875" style="61" hidden="1" customWidth="1"/>
    <col min="22" max="16384" width="11.42578125" style="7" hidden="1"/>
  </cols>
  <sheetData>
    <row r="1" spans="1:21" s="1" customFormat="1" ht="15" x14ac:dyDescent="0.2">
      <c r="B1" s="2" t="s">
        <v>108</v>
      </c>
      <c r="C1" s="2"/>
      <c r="D1" s="2"/>
      <c r="U1" s="212" t="s">
        <v>53</v>
      </c>
    </row>
    <row r="2" spans="1:21" s="1" customFormat="1" ht="27.75" customHeight="1" x14ac:dyDescent="0.2">
      <c r="B2" s="4" t="s">
        <v>109</v>
      </c>
      <c r="C2" s="4"/>
      <c r="D2" s="4"/>
      <c r="U2" s="149" t="s">
        <v>71</v>
      </c>
    </row>
    <row r="3" spans="1:21" s="1" customFormat="1" ht="35.25" customHeight="1" x14ac:dyDescent="0.2">
      <c r="B3" s="5" t="str">
        <f>CONCATENATE("Definitive Finanzausgleichsbeiträge ",$C$7)</f>
        <v>Definitive Finanzausgleichsbeiträge 2014</v>
      </c>
      <c r="C3" s="5"/>
      <c r="D3" s="5"/>
      <c r="U3" s="169" t="s">
        <v>104</v>
      </c>
    </row>
    <row r="4" spans="1:21" s="1" customFormat="1" x14ac:dyDescent="0.2">
      <c r="U4" s="169" t="s">
        <v>46</v>
      </c>
    </row>
    <row r="5" spans="1:21" s="1" customFormat="1" ht="15.75" x14ac:dyDescent="0.2">
      <c r="B5" s="4" t="s">
        <v>110</v>
      </c>
      <c r="C5" s="201"/>
      <c r="S5" s="3"/>
      <c r="T5" s="3"/>
      <c r="U5" s="149" t="s">
        <v>65</v>
      </c>
    </row>
    <row r="6" spans="1:21" s="1" customFormat="1" x14ac:dyDescent="0.2">
      <c r="B6" s="4"/>
      <c r="S6" s="3"/>
      <c r="T6" s="3"/>
      <c r="U6" s="169" t="s">
        <v>48</v>
      </c>
    </row>
    <row r="7" spans="1:21" s="1" customFormat="1" ht="15.75" x14ac:dyDescent="0.2">
      <c r="B7" s="4" t="s">
        <v>111</v>
      </c>
      <c r="C7" s="202">
        <v>2014</v>
      </c>
      <c r="S7" s="3"/>
      <c r="T7" s="3"/>
      <c r="U7" s="169" t="s">
        <v>74</v>
      </c>
    </row>
    <row r="8" spans="1:21" ht="15" customHeight="1" thickBot="1" x14ac:dyDescent="0.25">
      <c r="G8" s="203"/>
      <c r="U8" s="149" t="s">
        <v>37</v>
      </c>
    </row>
    <row r="9" spans="1:21" s="10" customFormat="1" ht="22.5" customHeight="1" thickBot="1" x14ac:dyDescent="0.25">
      <c r="A9" s="8"/>
      <c r="B9" s="9" t="s">
        <v>112</v>
      </c>
      <c r="C9" s="8"/>
      <c r="D9" s="8"/>
      <c r="E9" s="8"/>
      <c r="F9" s="8"/>
      <c r="U9" s="149" t="s">
        <v>47</v>
      </c>
    </row>
    <row r="10" spans="1:21" ht="5.25" customHeight="1" x14ac:dyDescent="0.25">
      <c r="A10" s="11"/>
      <c r="B10" s="12"/>
      <c r="C10" s="11"/>
      <c r="D10" s="11"/>
      <c r="E10" s="11"/>
      <c r="F10" s="11"/>
      <c r="U10" s="169" t="s">
        <v>60</v>
      </c>
    </row>
    <row r="11" spans="1:21" s="1" customFormat="1" ht="22.5" customHeight="1" x14ac:dyDescent="0.2">
      <c r="A11" s="13"/>
      <c r="B11" s="14" t="s">
        <v>113</v>
      </c>
      <c r="C11" s="15"/>
      <c r="D11" s="15"/>
      <c r="E11" s="13"/>
      <c r="F11" s="13"/>
      <c r="U11" s="149" t="s">
        <v>89</v>
      </c>
    </row>
    <row r="12" spans="1:21" s="1" customFormat="1" ht="22.5" customHeight="1" x14ac:dyDescent="0.2">
      <c r="A12" s="16"/>
      <c r="B12" s="17" t="str">
        <f>CONCATENATE("Politische Gemeinde ",$C$5," ",$C$7,"; Definitive Daten")</f>
        <v>Politische Gemeinde  2014; Definitive Daten</v>
      </c>
      <c r="C12" s="16"/>
      <c r="D12" s="16"/>
      <c r="E12" s="16"/>
      <c r="F12" s="16"/>
      <c r="U12" s="149" t="s">
        <v>97</v>
      </c>
    </row>
    <row r="13" spans="1:21" s="1" customFormat="1" ht="34.5" customHeight="1" x14ac:dyDescent="0.2">
      <c r="A13" s="18"/>
      <c r="B13" s="19" t="s">
        <v>114</v>
      </c>
      <c r="C13" s="20" t="s">
        <v>115</v>
      </c>
      <c r="D13" s="20"/>
      <c r="E13" s="18"/>
      <c r="F13" s="18"/>
      <c r="U13" s="149" t="s">
        <v>49</v>
      </c>
    </row>
    <row r="14" spans="1:21" ht="17.25" customHeight="1" x14ac:dyDescent="0.2">
      <c r="A14" s="21"/>
      <c r="B14" s="22" t="s">
        <v>116</v>
      </c>
      <c r="C14" s="22" t="s">
        <v>117</v>
      </c>
      <c r="D14" s="22" t="s">
        <v>118</v>
      </c>
      <c r="E14" s="23" t="e">
        <f>VLOOKUP($C$5,Basis!$B$5:$BC$81,49,FALSE)</f>
        <v>#N/A</v>
      </c>
      <c r="F14" s="21"/>
      <c r="U14" s="149" t="s">
        <v>83</v>
      </c>
    </row>
    <row r="15" spans="1:21" ht="17.25" customHeight="1" x14ac:dyDescent="0.3">
      <c r="A15" s="24"/>
      <c r="B15" s="22" t="str">
        <f>CONCATENATE("Kantonaler Durchschnitt der technischen Steuerkraft der Jahre ",$C$7-3," und ",$C$7-2)</f>
        <v>Kantonaler Durchschnitt der technischen Steuerkraft der Jahre 2011 und 2012</v>
      </c>
      <c r="C15" s="22" t="s">
        <v>119</v>
      </c>
      <c r="D15" s="22" t="s">
        <v>120</v>
      </c>
      <c r="E15" s="25" t="e">
        <f>VLOOKUP($C$5,Basis!$B$5:$BC$81,48,FALSE)</f>
        <v>#N/A</v>
      </c>
      <c r="F15" s="24"/>
      <c r="U15" s="169" t="s">
        <v>40</v>
      </c>
    </row>
    <row r="16" spans="1:21" ht="17.25" customHeight="1" x14ac:dyDescent="0.3">
      <c r="A16" s="24"/>
      <c r="B16" s="22" t="str">
        <f>CONCATENATE("Durchschnitt der technischen Steuerkraft der Gemeinde ",$C$5," in den Jahren ",$C$7-3," und ",$C$7-2)</f>
        <v>Durchschnitt der technischen Steuerkraft der Gemeinde  in den Jahren 2011 und 2012</v>
      </c>
      <c r="C16" s="22" t="s">
        <v>121</v>
      </c>
      <c r="D16" s="22" t="s">
        <v>120</v>
      </c>
      <c r="E16" s="25" t="e">
        <f>VLOOKUP($C$5,Basis!$B$5:$BC$81,47,FALSE)</f>
        <v>#N/A</v>
      </c>
      <c r="F16" s="24"/>
      <c r="U16" s="169" t="s">
        <v>54</v>
      </c>
    </row>
    <row r="17" spans="1:21" ht="17.25" customHeight="1" x14ac:dyDescent="0.3">
      <c r="A17" s="24"/>
      <c r="B17" s="22" t="str">
        <f>CONCATENATE("Durchschnittlicher Steuerfuss der Gemeinde ",$C$5," in den Jahren ",$C$7-3," und ",$C$7-2)</f>
        <v>Durchschnittlicher Steuerfuss der Gemeinde  in den Jahren 2011 und 2012</v>
      </c>
      <c r="C17" s="22" t="s">
        <v>122</v>
      </c>
      <c r="D17" s="22" t="s">
        <v>118</v>
      </c>
      <c r="E17" s="26" t="e">
        <f>AVERAGE(VLOOKUP($C$5,Basis!$B$5:$BC$81,11,FALSE),VLOOKUP($C$5,Basis!$B$5:$BC$81,12,FALSE))</f>
        <v>#N/A</v>
      </c>
      <c r="F17" s="24"/>
      <c r="U17" s="169" t="s">
        <v>80</v>
      </c>
    </row>
    <row r="18" spans="1:21" ht="17.25" customHeight="1" x14ac:dyDescent="0.3">
      <c r="A18" s="24"/>
      <c r="B18" s="22" t="str">
        <f>CONCATENATE("Einwohnerzahl der Gemeinde ",$C$5," Ende ",$C$7-3)</f>
        <v>Einwohnerzahl der Gemeinde  Ende 2011</v>
      </c>
      <c r="C18" s="22" t="s">
        <v>123</v>
      </c>
      <c r="D18" s="22" t="s">
        <v>124</v>
      </c>
      <c r="E18" s="27" t="e">
        <f>VLOOKUP($C$5,Basis!$B$5:$BC$81,13,FALSE)</f>
        <v>#N/A</v>
      </c>
      <c r="F18" s="24"/>
      <c r="U18" s="169" t="s">
        <v>96</v>
      </c>
    </row>
    <row r="19" spans="1:21" s="1" customFormat="1" ht="22.5" customHeight="1" x14ac:dyDescent="0.2">
      <c r="A19" s="28"/>
      <c r="B19" s="29" t="str">
        <f>CONCATENATE("Definitiver Beitrag an die Gemeinde ",$C$5," aus dem Ressourcenausgleich ",$C$7)</f>
        <v>Definitiver Beitrag an die Gemeinde  aus dem Ressourcenausgleich 2014</v>
      </c>
      <c r="C19" s="28" t="s">
        <v>125</v>
      </c>
      <c r="D19" s="28" t="s">
        <v>120</v>
      </c>
      <c r="E19" s="30" t="e">
        <f>IF(E16&lt;E14*E15,ROUND((E14*E15-E16)*(0.83*E17+0.17*150%)*E18,-2),0)</f>
        <v>#N/A</v>
      </c>
      <c r="F19" s="28"/>
      <c r="U19" s="169" t="s">
        <v>68</v>
      </c>
    </row>
    <row r="20" spans="1:21" ht="5.25" customHeight="1" x14ac:dyDescent="0.2">
      <c r="U20" s="169" t="s">
        <v>106</v>
      </c>
    </row>
    <row r="21" spans="1:21" s="4" customFormat="1" ht="22.5" customHeight="1" x14ac:dyDescent="0.2">
      <c r="A21" s="14"/>
      <c r="B21" s="14" t="s">
        <v>126</v>
      </c>
      <c r="C21" s="14"/>
      <c r="D21" s="14"/>
      <c r="E21" s="14"/>
      <c r="F21" s="14"/>
      <c r="U21" s="169" t="s">
        <v>58</v>
      </c>
    </row>
    <row r="22" spans="1:21" s="4" customFormat="1" ht="22.5" customHeight="1" x14ac:dyDescent="0.2">
      <c r="A22" s="17"/>
      <c r="B22" s="17" t="str">
        <f>CONCATENATE("Politische Gemeinde ",$C$5," ",$C$7,"; Definitive Daten")</f>
        <v>Politische Gemeinde  2014; Definitive Daten</v>
      </c>
      <c r="C22" s="17"/>
      <c r="D22" s="17"/>
      <c r="E22" s="17"/>
      <c r="F22" s="17"/>
      <c r="U22" s="149" t="s">
        <v>35</v>
      </c>
    </row>
    <row r="23" spans="1:21" ht="22.5" customHeight="1" x14ac:dyDescent="0.3">
      <c r="A23" s="31"/>
      <c r="B23" s="32" t="s">
        <v>127</v>
      </c>
      <c r="C23" s="32" t="s">
        <v>197</v>
      </c>
      <c r="D23" s="31"/>
      <c r="E23" s="31"/>
      <c r="F23" s="31"/>
      <c r="U23" s="169" t="s">
        <v>76</v>
      </c>
    </row>
    <row r="24" spans="1:21" s="1" customFormat="1" ht="17.25" customHeight="1" x14ac:dyDescent="0.2">
      <c r="A24" s="33"/>
      <c r="B24" s="33" t="str">
        <f>CONCATENATE("Gewichtete Strassenlänge je Einwohner/in der Gemeinde ",$C$5," per Ende ",$C$7-2)</f>
        <v>Gewichtete Strassenlänge je Einwohner/in der Gemeinde  per Ende 2012</v>
      </c>
      <c r="C24" s="34" t="s">
        <v>128</v>
      </c>
      <c r="D24" s="34" t="s">
        <v>129</v>
      </c>
      <c r="E24" s="35" t="e">
        <f>VLOOKUP($C$5,Basis!$B$5:$BC$81,16,FALSE)/VLOOKUP($C$5,Basis!$B$5:$BC$81,14,FALSE)</f>
        <v>#N/A</v>
      </c>
      <c r="F24" s="33"/>
      <c r="U24" s="149" t="s">
        <v>103</v>
      </c>
    </row>
    <row r="25" spans="1:21" s="1" customFormat="1" ht="17.25" customHeight="1" x14ac:dyDescent="0.2">
      <c r="A25" s="33"/>
      <c r="B25" s="33" t="str">
        <f>CONCATENATE("Gewichtete Strassenlänge je Einwohner/in im kantonalen Durchschnitt per Ende ",$C$7-2)</f>
        <v>Gewichtete Strassenlänge je Einwohner/in im kantonalen Durchschnitt per Ende 2012</v>
      </c>
      <c r="C25" s="34" t="s">
        <v>130</v>
      </c>
      <c r="D25" s="34" t="s">
        <v>129</v>
      </c>
      <c r="E25" s="35">
        <f>Basis!$Q$82/Basis!$O$82</f>
        <v>0.25349862136081808</v>
      </c>
      <c r="F25" s="33"/>
      <c r="U25" s="149" t="s">
        <v>59</v>
      </c>
    </row>
    <row r="26" spans="1:21" s="1" customFormat="1" ht="17.25" customHeight="1" x14ac:dyDescent="0.2">
      <c r="A26" s="33"/>
      <c r="B26" s="34" t="str">
        <f>CONCATENATE("Einwohnerzahl der Gemeinde ",$C$5," Ende ",$C$7-2)</f>
        <v>Einwohnerzahl der Gemeinde  Ende 2012</v>
      </c>
      <c r="C26" s="34" t="s">
        <v>123</v>
      </c>
      <c r="D26" s="34" t="s">
        <v>124</v>
      </c>
      <c r="E26" s="36" t="e">
        <f>VLOOKUP($C$5,Basis!$B$5:$BC$81,14,FALSE)</f>
        <v>#N/A</v>
      </c>
      <c r="F26" s="33"/>
      <c r="U26" s="169" t="s">
        <v>32</v>
      </c>
    </row>
    <row r="27" spans="1:21" s="1" customFormat="1" ht="17.25" customHeight="1" x14ac:dyDescent="0.2">
      <c r="A27" s="33"/>
      <c r="B27" s="34" t="s">
        <v>131</v>
      </c>
      <c r="C27" s="34" t="s">
        <v>132</v>
      </c>
      <c r="D27" s="34" t="s">
        <v>120</v>
      </c>
      <c r="E27" s="37" t="e">
        <f>VLOOKUP($C$5,Basis!$B$5:$BC$81,51,FALSE)</f>
        <v>#N/A</v>
      </c>
      <c r="F27" s="33"/>
      <c r="U27" s="169" t="s">
        <v>88</v>
      </c>
    </row>
    <row r="28" spans="1:21" s="1" customFormat="1" ht="17.25" customHeight="1" x14ac:dyDescent="0.2">
      <c r="A28" s="33"/>
      <c r="B28" s="34" t="s">
        <v>133</v>
      </c>
      <c r="C28" s="34"/>
      <c r="D28" s="34" t="s">
        <v>118</v>
      </c>
      <c r="E28" s="38" t="e">
        <f>VLOOKUP($C$5,Basis!$B$5:$BC$81,50,FALSE)</f>
        <v>#N/A</v>
      </c>
      <c r="F28" s="33"/>
      <c r="U28" s="149" t="s">
        <v>93</v>
      </c>
    </row>
    <row r="29" spans="1:21" s="4" customFormat="1" ht="22.5" customHeight="1" x14ac:dyDescent="0.2">
      <c r="A29" s="28"/>
      <c r="B29" s="29" t="str">
        <f>CONCATENATE("Definitiver Beitrag an die Gemeinde ",$C$5," aus dem Sonderlastenausgleich Weite ",$C$7)</f>
        <v>Definitiver Beitrag an die Gemeinde  aus dem Sonderlastenausgleich Weite 2014</v>
      </c>
      <c r="C29" s="28" t="s">
        <v>134</v>
      </c>
      <c r="D29" s="28" t="e">
        <f>IF(E29&gt;0,"Fr.","")</f>
        <v>#N/A</v>
      </c>
      <c r="E29" s="30" t="e">
        <f>IF(E24&gt;E25,ROUND((E24-E25)*E26*E27+E28*((E24-E25)*E26*E27),-2),0)</f>
        <v>#N/A</v>
      </c>
      <c r="F29" s="28"/>
      <c r="U29" s="149" t="s">
        <v>75</v>
      </c>
    </row>
    <row r="30" spans="1:21" ht="4.5" customHeight="1" x14ac:dyDescent="0.2">
      <c r="U30" s="169" t="s">
        <v>92</v>
      </c>
    </row>
    <row r="31" spans="1:21" s="1" customFormat="1" ht="22.5" customHeight="1" x14ac:dyDescent="0.2">
      <c r="A31" s="14"/>
      <c r="B31" s="14" t="s">
        <v>135</v>
      </c>
      <c r="C31" s="14"/>
      <c r="D31" s="14"/>
      <c r="E31" s="14"/>
      <c r="F31" s="14"/>
      <c r="U31" s="149" t="s">
        <v>85</v>
      </c>
    </row>
    <row r="32" spans="1:21" s="1" customFormat="1" ht="22.5" customHeight="1" x14ac:dyDescent="0.2">
      <c r="A32" s="17"/>
      <c r="B32" s="17" t="str">
        <f>CONCATENATE("Politische Gemeinde ",$C$5," ",$C$7,"; Definitive Daten")</f>
        <v>Politische Gemeinde  2014; Definitive Daten</v>
      </c>
      <c r="C32" s="17"/>
      <c r="D32" s="17"/>
      <c r="E32" s="17"/>
      <c r="F32" s="17"/>
      <c r="U32" s="169" t="s">
        <v>90</v>
      </c>
    </row>
    <row r="33" spans="1:21" s="4" customFormat="1" ht="22.5" customHeight="1" x14ac:dyDescent="0.2">
      <c r="A33" s="39"/>
      <c r="B33" s="39" t="s">
        <v>136</v>
      </c>
      <c r="C33" s="39"/>
      <c r="D33" s="39"/>
      <c r="E33" s="39"/>
      <c r="F33" s="39"/>
      <c r="U33" s="169" t="s">
        <v>52</v>
      </c>
    </row>
    <row r="34" spans="1:21" s="1" customFormat="1" ht="22.5" customHeight="1" x14ac:dyDescent="0.2">
      <c r="A34" s="40"/>
      <c r="B34" s="41" t="s">
        <v>137</v>
      </c>
      <c r="C34" s="41" t="s">
        <v>198</v>
      </c>
      <c r="D34" s="40"/>
      <c r="E34" s="40"/>
      <c r="F34" s="40"/>
      <c r="U34" s="149" t="s">
        <v>67</v>
      </c>
    </row>
    <row r="35" spans="1:21" s="1" customFormat="1" ht="17.25" customHeight="1" x14ac:dyDescent="0.2">
      <c r="A35" s="42"/>
      <c r="B35" s="43" t="str">
        <f>CONCATENATE("Aufwand der Gemeinde ",$C$5," für die Unterbringung von Kindern und Jugendlichen je Einwohner/in im Jahr ",$C$7-2)</f>
        <v>Aufwand der Gemeinde  für die Unterbringung von Kindern und Jugendlichen je Einwohner/in im Jahr 2012</v>
      </c>
      <c r="C35" s="43" t="s">
        <v>212</v>
      </c>
      <c r="D35" s="43" t="s">
        <v>120</v>
      </c>
      <c r="E35" s="44" t="e">
        <f>(VLOOKUP($C$5,Basis!$B$5:$BC$81,19,FALSE)+VLOOKUP($C$5,Basis!$B$5:$BC$81,20,FALSE)+VLOOKUP($C$5,Basis!$B$5:$BC$81,21,FALSE))/VLOOKUP($C$5,Basis!$B$5:$BC$81,14,FALSE)</f>
        <v>#N/A</v>
      </c>
      <c r="F35" s="42"/>
      <c r="U35" s="169" t="s">
        <v>34</v>
      </c>
    </row>
    <row r="36" spans="1:21" s="1" customFormat="1" ht="17.25" customHeight="1" x14ac:dyDescent="0.2">
      <c r="A36" s="42"/>
      <c r="B36" s="43" t="str">
        <f>CONCATENATE("Aufwand für die Unterbringung von Kindern und Jugendlichen je Einwohner/in im kantonalen Durchschnitt im Jahr ",$C$7-2)</f>
        <v>Aufwand für die Unterbringung von Kindern und Jugendlichen je Einwohner/in im kantonalen Durchschnitt im Jahr 2012</v>
      </c>
      <c r="C36" s="43" t="s">
        <v>213</v>
      </c>
      <c r="D36" s="43" t="s">
        <v>120</v>
      </c>
      <c r="E36" s="44">
        <f>SUM(Basis!$T$82:$V$82)/Basis!$O$82</f>
        <v>32.898491294707028</v>
      </c>
      <c r="F36" s="42"/>
      <c r="U36" s="149" t="s">
        <v>91</v>
      </c>
    </row>
    <row r="37" spans="1:21" s="1" customFormat="1" ht="17.25" customHeight="1" x14ac:dyDescent="0.2">
      <c r="A37" s="42"/>
      <c r="B37" s="43" t="str">
        <f>CONCATENATE("Einwohnerzahl der Gemeinde ",$C$5," Ende ",$C$7-2)</f>
        <v>Einwohnerzahl der Gemeinde  Ende 2012</v>
      </c>
      <c r="C37" s="43" t="s">
        <v>214</v>
      </c>
      <c r="D37" s="43" t="s">
        <v>124</v>
      </c>
      <c r="E37" s="45" t="e">
        <f>VLOOKUP($C$5,Basis!$B$5:$BC$81,14,FALSE)</f>
        <v>#N/A</v>
      </c>
      <c r="F37" s="42"/>
      <c r="U37" s="149" t="s">
        <v>33</v>
      </c>
    </row>
    <row r="38" spans="1:21" s="1" customFormat="1" ht="22.5" customHeight="1" x14ac:dyDescent="0.2">
      <c r="A38" s="46"/>
      <c r="B38" s="46" t="str">
        <f>CONCATENATE("Definitiver Beitrag an die Kosten für die Unterbringung von Kindern und Jugendlichen ",$C$7," an die Gemeinde ",$C$5)</f>
        <v xml:space="preserve">Definitiver Beitrag an die Kosten für die Unterbringung von Kindern und Jugendlichen 2014 an die Gemeinde </v>
      </c>
      <c r="C38" s="47" t="s">
        <v>215</v>
      </c>
      <c r="D38" s="46" t="e">
        <f>IF(E38&gt;0,"Fr.","")</f>
        <v>#N/A</v>
      </c>
      <c r="E38" s="48" t="e">
        <f>IF(E35&gt;E36,(E35-E36)*E37*0.55,0)</f>
        <v>#N/A</v>
      </c>
      <c r="F38" s="46"/>
      <c r="U38" s="149" t="s">
        <v>87</v>
      </c>
    </row>
    <row r="39" spans="1:21" ht="5.25" customHeight="1" x14ac:dyDescent="0.2">
      <c r="A39" s="49"/>
      <c r="B39" s="49"/>
      <c r="C39" s="49"/>
      <c r="D39" s="49"/>
      <c r="E39" s="49"/>
      <c r="F39" s="49"/>
      <c r="U39" s="169" t="s">
        <v>82</v>
      </c>
    </row>
    <row r="40" spans="1:21" s="4" customFormat="1" ht="17.25" customHeight="1" x14ac:dyDescent="0.2">
      <c r="A40" s="50"/>
      <c r="B40" s="50" t="s">
        <v>138</v>
      </c>
      <c r="C40" s="50"/>
      <c r="D40" s="50"/>
      <c r="E40" s="50"/>
      <c r="F40" s="50"/>
      <c r="U40" s="149" t="s">
        <v>101</v>
      </c>
    </row>
    <row r="41" spans="1:21" s="1" customFormat="1" ht="22.5" customHeight="1" x14ac:dyDescent="0.2">
      <c r="A41" s="40"/>
      <c r="B41" s="41" t="s">
        <v>139</v>
      </c>
      <c r="C41" s="41" t="s">
        <v>199</v>
      </c>
      <c r="D41" s="40"/>
      <c r="E41" s="40"/>
      <c r="F41" s="40"/>
      <c r="U41" s="169" t="s">
        <v>102</v>
      </c>
    </row>
    <row r="42" spans="1:21" s="1" customFormat="1" ht="17.25" customHeight="1" x14ac:dyDescent="0.2">
      <c r="A42" s="42"/>
      <c r="B42" s="43" t="str">
        <f>CONCATENATE("Aufwand der Gemeinde ",$C$5," für die Sozialhilfe je Einwohner/in im Jahr ",$C$7-2)</f>
        <v>Aufwand der Gemeinde  für die Sozialhilfe je Einwohner/in im Jahr 2012</v>
      </c>
      <c r="C42" s="43" t="s">
        <v>216</v>
      </c>
      <c r="D42" s="43" t="s">
        <v>120</v>
      </c>
      <c r="E42" s="44" t="e">
        <f>(VLOOKUP($C$5,Basis!$B$5:$BC$81,22,FALSE)+VLOOKUP($C$5,Basis!$B$5:$BC$81,23,FALSE)+VLOOKUP($C$5,Basis!$B$5:$BC$81,24,FALSE)+VLOOKUP($C$5,Basis!$B$5:$BC$81,25,FALSE))/VLOOKUP($C$5,Basis!$B$5:$BC$81,14,FALSE)</f>
        <v>#N/A</v>
      </c>
      <c r="F42" s="42"/>
      <c r="U42" s="169" t="s">
        <v>100</v>
      </c>
    </row>
    <row r="43" spans="1:21" s="1" customFormat="1" ht="17.25" customHeight="1" x14ac:dyDescent="0.2">
      <c r="A43" s="42"/>
      <c r="B43" s="43" t="str">
        <f>CONCATENATE("Aufwand für die Sozialhilfe je Einwohner/in im kantonalen Durchschnitt im Jahr ",$C$7-2)</f>
        <v>Aufwand für die Sozialhilfe je Einwohner/in im kantonalen Durchschnitt im Jahr 2012</v>
      </c>
      <c r="C43" s="43" t="s">
        <v>217</v>
      </c>
      <c r="D43" s="43" t="s">
        <v>120</v>
      </c>
      <c r="E43" s="44">
        <f>SUM(Basis!$W$82:$Z$82)/Basis!$O$82</f>
        <v>170.44960672196439</v>
      </c>
      <c r="F43" s="42"/>
      <c r="U43" s="169" t="s">
        <v>86</v>
      </c>
    </row>
    <row r="44" spans="1:21" s="1" customFormat="1" ht="17.25" customHeight="1" x14ac:dyDescent="0.2">
      <c r="A44" s="42"/>
      <c r="B44" s="43" t="str">
        <f>CONCATENATE("Einwohnerzahl der Gemeinde ",$C$5," Ende ",$C$7-2)</f>
        <v>Einwohnerzahl der Gemeinde  Ende 2012</v>
      </c>
      <c r="C44" s="43" t="s">
        <v>214</v>
      </c>
      <c r="D44" s="43" t="s">
        <v>124</v>
      </c>
      <c r="E44" s="45" t="e">
        <f>VLOOKUP($C$5,Basis!$B$5:$BC$81,14,FALSE)</f>
        <v>#N/A</v>
      </c>
      <c r="F44" s="42"/>
      <c r="U44" s="149" t="s">
        <v>55</v>
      </c>
    </row>
    <row r="45" spans="1:21" s="1" customFormat="1" ht="22.5" customHeight="1" x14ac:dyDescent="0.2">
      <c r="A45" s="46"/>
      <c r="B45" s="46" t="str">
        <f>CONCATENATE("Definitiver Beitrag an die Kosten für die Sozialhilfe ",$C$7," an die Gemeinde ",$C$5)</f>
        <v xml:space="preserve">Definitiver Beitrag an die Kosten für die Sozialhilfe 2014 an die Gemeinde </v>
      </c>
      <c r="C45" s="47" t="s">
        <v>218</v>
      </c>
      <c r="D45" s="46" t="e">
        <f>IF(E45&gt;0,"Fr.","")</f>
        <v>#N/A</v>
      </c>
      <c r="E45" s="48" t="e">
        <f>IF(E42&gt;E43,(E42-E43)*E44*0.55,0)</f>
        <v>#N/A</v>
      </c>
      <c r="F45" s="46"/>
      <c r="U45" s="169" t="s">
        <v>94</v>
      </c>
    </row>
    <row r="46" spans="1:21" ht="5.25" customHeight="1" x14ac:dyDescent="0.2">
      <c r="A46" s="51"/>
      <c r="B46" s="49"/>
      <c r="C46" s="49"/>
      <c r="D46" s="49"/>
      <c r="E46" s="49"/>
      <c r="F46" s="49"/>
      <c r="U46" s="169" t="s">
        <v>66</v>
      </c>
    </row>
    <row r="47" spans="1:21" s="4" customFormat="1" ht="22.5" customHeight="1" x14ac:dyDescent="0.2">
      <c r="A47" s="50"/>
      <c r="B47" s="50" t="s">
        <v>140</v>
      </c>
      <c r="C47" s="50"/>
      <c r="D47" s="50"/>
      <c r="E47" s="50"/>
      <c r="F47" s="50"/>
      <c r="U47" s="169" t="s">
        <v>70</v>
      </c>
    </row>
    <row r="48" spans="1:21" s="1" customFormat="1" ht="22.5" customHeight="1" x14ac:dyDescent="0.2">
      <c r="A48" s="40"/>
      <c r="B48" s="41" t="s">
        <v>141</v>
      </c>
      <c r="C48" s="41" t="s">
        <v>200</v>
      </c>
      <c r="D48" s="40"/>
      <c r="E48" s="40"/>
      <c r="F48" s="40"/>
      <c r="U48" s="149" t="s">
        <v>79</v>
      </c>
    </row>
    <row r="49" spans="1:21" s="1" customFormat="1" ht="17.25" customHeight="1" x14ac:dyDescent="0.2">
      <c r="A49" s="42"/>
      <c r="B49" s="43" t="str">
        <f>CONCATENATE("Aufwand der Gemeinde ",$C$5," für die stationäre Pflege je Einwohner/in im Jahr ",$C$7-2)</f>
        <v>Aufwand der Gemeinde  für die stationäre Pflege je Einwohner/in im Jahr 2012</v>
      </c>
      <c r="C49" s="43" t="s">
        <v>219</v>
      </c>
      <c r="D49" s="43" t="s">
        <v>120</v>
      </c>
      <c r="E49" s="44" t="e">
        <f>(VLOOKUP($C$5,Basis!$B$5:$BC$81,26,FALSE)/VLOOKUP($C$5,Basis!$B$5:$BC$81,14,FALSE))</f>
        <v>#N/A</v>
      </c>
      <c r="F49" s="42"/>
      <c r="U49" s="149" t="s">
        <v>51</v>
      </c>
    </row>
    <row r="50" spans="1:21" s="1" customFormat="1" ht="17.25" customHeight="1" x14ac:dyDescent="0.2">
      <c r="A50" s="42"/>
      <c r="B50" s="43" t="str">
        <f>CONCATENATE("Aufwand für die stationäre Pflege je Einwohner/in im kantonalen Durchschnitt im Jahr ",$C$7-2)</f>
        <v>Aufwand für die stationäre Pflege je Einwohner/in im kantonalen Durchschnitt im Jahr 2012</v>
      </c>
      <c r="C50" s="43" t="s">
        <v>220</v>
      </c>
      <c r="D50" s="43" t="s">
        <v>120</v>
      </c>
      <c r="E50" s="44">
        <f>Basis!$AA$82/Basis!$O$82</f>
        <v>36.195211924608877</v>
      </c>
      <c r="F50" s="42"/>
      <c r="U50" s="169" t="s">
        <v>44</v>
      </c>
    </row>
    <row r="51" spans="1:21" s="1" customFormat="1" ht="17.25" customHeight="1" x14ac:dyDescent="0.2">
      <c r="A51" s="42"/>
      <c r="B51" s="43" t="str">
        <f>CONCATENATE("Einwohnerzahl der Gemeinde ",$C$5," Ende ",$C$7-2)</f>
        <v>Einwohnerzahl der Gemeinde  Ende 2012</v>
      </c>
      <c r="C51" s="43" t="s">
        <v>214</v>
      </c>
      <c r="D51" s="43" t="s">
        <v>124</v>
      </c>
      <c r="E51" s="45" t="e">
        <f>VLOOKUP($C$5,Basis!$B$5:$BC$81,14,FALSE)</f>
        <v>#N/A</v>
      </c>
      <c r="F51" s="42"/>
      <c r="U51" s="169" t="s">
        <v>42</v>
      </c>
    </row>
    <row r="52" spans="1:21" s="1" customFormat="1" ht="17.25" customHeight="1" x14ac:dyDescent="0.2">
      <c r="A52" s="42"/>
      <c r="B52" s="43" t="s">
        <v>142</v>
      </c>
      <c r="C52" s="52"/>
      <c r="D52" s="43" t="s">
        <v>143</v>
      </c>
      <c r="E52" s="53">
        <v>3</v>
      </c>
      <c r="F52" s="42"/>
      <c r="U52" s="149" t="s">
        <v>41</v>
      </c>
    </row>
    <row r="53" spans="1:21" ht="22.5" customHeight="1" x14ac:dyDescent="0.2">
      <c r="A53" s="46"/>
      <c r="B53" s="46" t="str">
        <f>CONCATENATE("Definitiver Beitrag an die Kosten für die stationäre Pflege ",$C$7," an die Gemeinde ",$C$5)</f>
        <v xml:space="preserve">Definitiver Beitrag an die Kosten für die stationäre Pflege 2014 an die Gemeinde </v>
      </c>
      <c r="C53" s="47" t="s">
        <v>221</v>
      </c>
      <c r="D53" s="46" t="e">
        <f>IF(E53&gt;0,"Fr.","")</f>
        <v>#N/A</v>
      </c>
      <c r="E53" s="54" t="e">
        <f>IF(E49&gt;E50,((E52*E49)-(E52*E50))*E51*0.55,0)</f>
        <v>#N/A</v>
      </c>
      <c r="F53" s="46"/>
      <c r="U53" s="169" t="s">
        <v>56</v>
      </c>
    </row>
    <row r="54" spans="1:21" ht="5.25" customHeight="1" x14ac:dyDescent="0.2">
      <c r="A54" s="49"/>
      <c r="B54" s="49"/>
      <c r="C54" s="49"/>
      <c r="D54" s="49"/>
      <c r="E54" s="49"/>
      <c r="F54" s="49"/>
      <c r="U54" s="149" t="s">
        <v>63</v>
      </c>
    </row>
    <row r="55" spans="1:21" s="4" customFormat="1" ht="22.5" customHeight="1" x14ac:dyDescent="0.2">
      <c r="A55" s="55"/>
      <c r="B55" s="55" t="s">
        <v>144</v>
      </c>
      <c r="C55" s="55"/>
      <c r="D55" s="55"/>
      <c r="E55" s="55"/>
      <c r="F55" s="55"/>
      <c r="U55" s="149" t="s">
        <v>73</v>
      </c>
    </row>
    <row r="56" spans="1:21" s="1" customFormat="1" ht="22.5" customHeight="1" x14ac:dyDescent="0.2">
      <c r="A56" s="40"/>
      <c r="B56" s="41" t="s">
        <v>145</v>
      </c>
      <c r="C56" s="41" t="s">
        <v>201</v>
      </c>
      <c r="D56" s="40"/>
      <c r="E56" s="40"/>
      <c r="F56" s="40"/>
      <c r="U56" s="169" t="s">
        <v>78</v>
      </c>
    </row>
    <row r="57" spans="1:21" s="1" customFormat="1" ht="17.25" customHeight="1" x14ac:dyDescent="0.2">
      <c r="A57" s="42"/>
      <c r="B57" s="43" t="str">
        <f>CONCATENATE("Altersquote der Gemeinde ",$C$5," im Jahr ",$C$7-2)</f>
        <v>Altersquote der Gemeinde  im Jahr 2012</v>
      </c>
      <c r="C57" s="43" t="s">
        <v>222</v>
      </c>
      <c r="D57" s="43" t="s">
        <v>143</v>
      </c>
      <c r="E57" s="44" t="e">
        <f>(VLOOKUP($C$5,Basis!$B$5:$BC$81,15,FALSE)/VLOOKUP($C$5,Basis!$B$5:$BC$81,14,FALSE))</f>
        <v>#N/A</v>
      </c>
      <c r="F57" s="42"/>
      <c r="U57" s="149" t="s">
        <v>57</v>
      </c>
    </row>
    <row r="58" spans="1:21" s="1" customFormat="1" ht="17.25" customHeight="1" x14ac:dyDescent="0.2">
      <c r="A58" s="42"/>
      <c r="B58" s="43" t="str">
        <f>CONCATENATE("Altersquote im kantonalen Durchschnitt im Jahr ",$C$7-2)</f>
        <v>Altersquote im kantonalen Durchschnitt im Jahr 2012</v>
      </c>
      <c r="C58" s="43" t="s">
        <v>223</v>
      </c>
      <c r="D58" s="43" t="s">
        <v>143</v>
      </c>
      <c r="E58" s="44">
        <f>Basis!$P$82/Basis!$O$82</f>
        <v>4.4707017615899479E-2</v>
      </c>
      <c r="F58" s="42"/>
      <c r="U58" s="149" t="s">
        <v>61</v>
      </c>
    </row>
    <row r="59" spans="1:21" s="1" customFormat="1" ht="17.25" customHeight="1" x14ac:dyDescent="0.2">
      <c r="A59" s="42"/>
      <c r="B59" s="43" t="str">
        <f>CONCATENATE("Einwohnerzahl der Gemeinde ",$C$5," Ende ",$C$7-2)</f>
        <v>Einwohnerzahl der Gemeinde  Ende 2012</v>
      </c>
      <c r="C59" s="43" t="s">
        <v>214</v>
      </c>
      <c r="D59" s="43" t="s">
        <v>124</v>
      </c>
      <c r="E59" s="45" t="e">
        <f>VLOOKUP($C$5,Basis!$B$5:$BC$81,14,FALSE)</f>
        <v>#N/A</v>
      </c>
      <c r="F59" s="42"/>
      <c r="U59" s="169" t="s">
        <v>30</v>
      </c>
    </row>
    <row r="60" spans="1:21" s="1" customFormat="1" ht="17.25" customHeight="1" x14ac:dyDescent="0.2">
      <c r="A60" s="42"/>
      <c r="B60" s="43" t="s">
        <v>146</v>
      </c>
      <c r="C60" s="43" t="s">
        <v>147</v>
      </c>
      <c r="D60" s="43" t="s">
        <v>120</v>
      </c>
      <c r="E60" s="56" t="e">
        <f>VLOOKUP($C$5,Basis!$B$5:$BC$81,54,FALSE)</f>
        <v>#N/A</v>
      </c>
      <c r="F60" s="42"/>
      <c r="U60" s="149" t="s">
        <v>45</v>
      </c>
    </row>
    <row r="61" spans="1:21" s="1" customFormat="1" ht="22.5" customHeight="1" x14ac:dyDescent="0.2">
      <c r="A61" s="46"/>
      <c r="B61" s="46" t="str">
        <f>CONCATENATE("Definitiver Beitrag an die Kosten für die ambulante Pflege ",$C$7," an die Gemeinde ",$C$5)</f>
        <v xml:space="preserve">Definitiver Beitrag an die Kosten für die ambulante Pflege 2014 an die Gemeinde </v>
      </c>
      <c r="C61" s="47" t="s">
        <v>224</v>
      </c>
      <c r="D61" s="46" t="e">
        <f>IF(E61&gt;0,"Fr.","")</f>
        <v>#N/A</v>
      </c>
      <c r="E61" s="54" t="e">
        <f>IF(E57&gt;E58,(E57-E58)*E59*E60,0)</f>
        <v>#N/A</v>
      </c>
      <c r="F61" s="46"/>
      <c r="U61" s="169" t="s">
        <v>36</v>
      </c>
    </row>
    <row r="62" spans="1:21" ht="5.25" customHeight="1" x14ac:dyDescent="0.2">
      <c r="A62" s="24"/>
      <c r="B62" s="24"/>
      <c r="C62" s="24"/>
      <c r="D62" s="24"/>
      <c r="E62" s="24"/>
      <c r="F62" s="24"/>
      <c r="U62" s="149" t="s">
        <v>43</v>
      </c>
    </row>
    <row r="63" spans="1:21" s="4" customFormat="1" ht="22.5" customHeight="1" x14ac:dyDescent="0.2">
      <c r="A63" s="17"/>
      <c r="B63" s="57" t="str">
        <f>CONCATENATE("Definitiver Beitrag an die Gemeinde ",$C$5," aus dem soziodemographischen Sonderlastenausgleich ",$C$7)</f>
        <v>Definitiver Beitrag an die Gemeinde  aus dem soziodemographischen Sonderlastenausgleich 2014</v>
      </c>
      <c r="C63" s="17"/>
      <c r="D63" s="17" t="e">
        <f>IF(E63&gt;0,"Fr.","")</f>
        <v>#N/A</v>
      </c>
      <c r="E63" s="58" t="e">
        <f>ROUND(SUM(E61,E53,E45,E38),-2)</f>
        <v>#N/A</v>
      </c>
      <c r="F63" s="17"/>
      <c r="U63" s="169" t="s">
        <v>38</v>
      </c>
    </row>
    <row r="64" spans="1:21" ht="5.25" customHeight="1" x14ac:dyDescent="0.2">
      <c r="U64" s="149" t="s">
        <v>39</v>
      </c>
    </row>
    <row r="65" spans="1:21" s="4" customFormat="1" ht="22.5" customHeight="1" x14ac:dyDescent="0.2">
      <c r="A65" s="14"/>
      <c r="B65" s="14" t="s">
        <v>148</v>
      </c>
      <c r="C65" s="14"/>
      <c r="D65" s="14"/>
      <c r="E65" s="14"/>
      <c r="F65" s="14"/>
      <c r="U65" s="149" t="s">
        <v>77</v>
      </c>
    </row>
    <row r="66" spans="1:21" s="4" customFormat="1" ht="22.5" customHeight="1" x14ac:dyDescent="0.2">
      <c r="A66" s="17"/>
      <c r="B66" s="17" t="str">
        <f>CONCATENATE("Politische Gemeinde ",$C$5," ",$C$7,"; Definitive Daten")</f>
        <v>Politische Gemeinde  2014; Definitive Daten</v>
      </c>
      <c r="C66" s="17"/>
      <c r="D66" s="17"/>
      <c r="E66" s="17"/>
      <c r="F66" s="17"/>
      <c r="U66" s="149" t="s">
        <v>95</v>
      </c>
    </row>
    <row r="67" spans="1:21" s="4" customFormat="1" ht="22.5" customHeight="1" x14ac:dyDescent="0.2">
      <c r="A67" s="55"/>
      <c r="B67" s="55" t="s">
        <v>149</v>
      </c>
      <c r="C67" s="55"/>
      <c r="D67" s="55"/>
      <c r="E67" s="55"/>
      <c r="F67" s="55"/>
      <c r="U67" s="169" t="s">
        <v>64</v>
      </c>
    </row>
    <row r="68" spans="1:21" s="1" customFormat="1" ht="22.5" customHeight="1" x14ac:dyDescent="0.2">
      <c r="A68" s="40"/>
      <c r="B68" s="41" t="s">
        <v>150</v>
      </c>
      <c r="C68" s="41" t="s">
        <v>202</v>
      </c>
      <c r="D68" s="40"/>
      <c r="E68" s="40"/>
      <c r="F68" s="40"/>
      <c r="U68" s="149" t="s">
        <v>105</v>
      </c>
    </row>
    <row r="69" spans="1:21" s="1" customFormat="1" ht="17.25" customHeight="1" x14ac:dyDescent="0.2">
      <c r="A69" s="42"/>
      <c r="B69" s="43" t="str">
        <f>CONCATENATE("Schülerzahl je Einwohner/in der Gemeinde ",$C$5," in der Volksschule im Jahr ",$C$7-2)</f>
        <v>Schülerzahl je Einwohner/in der Gemeinde  in der Volksschule im Jahr 2012</v>
      </c>
      <c r="C69" s="43" t="s">
        <v>225</v>
      </c>
      <c r="D69" s="43" t="s">
        <v>143</v>
      </c>
      <c r="E69" s="44" t="e">
        <f>VLOOKUP($C$5,Basis!$B$5:$BC$81,17,FALSE)/VLOOKUP($C$5,Basis!$B$5:$BC$81,14,FALSE)</f>
        <v>#N/A</v>
      </c>
      <c r="F69" s="42"/>
      <c r="U69" s="149" t="s">
        <v>69</v>
      </c>
    </row>
    <row r="70" spans="1:21" s="1" customFormat="1" ht="17.25" customHeight="1" x14ac:dyDescent="0.2">
      <c r="A70" s="42"/>
      <c r="B70" s="43" t="str">
        <f>CONCATENATE("Schülerzahl je Einwohner/in in der Volksschule im kantonalen Durchschnitt im Jahr ",$C$7-2)</f>
        <v>Schülerzahl je Einwohner/in in der Volksschule im kantonalen Durchschnitt im Jahr 2012</v>
      </c>
      <c r="C70" s="43" t="s">
        <v>226</v>
      </c>
      <c r="D70" s="43" t="s">
        <v>143</v>
      </c>
      <c r="E70" s="44">
        <f>Basis!$R$82/Basis!$O$82</f>
        <v>0.11532460066521578</v>
      </c>
      <c r="F70" s="42"/>
      <c r="U70" s="169" t="s">
        <v>62</v>
      </c>
    </row>
    <row r="71" spans="1:21" s="1" customFormat="1" ht="17.25" customHeight="1" x14ac:dyDescent="0.2">
      <c r="A71" s="42"/>
      <c r="B71" s="43" t="str">
        <f>CONCATENATE("Einwohnerzahl der Gemeinde ",$C$5," Ende ",$C$7-2)</f>
        <v>Einwohnerzahl der Gemeinde  Ende 2012</v>
      </c>
      <c r="C71" s="43" t="s">
        <v>214</v>
      </c>
      <c r="D71" s="43" t="s">
        <v>124</v>
      </c>
      <c r="E71" s="45" t="e">
        <f>VLOOKUP($C$5,Basis!$B$5:$BC$81,14,FALSE)</f>
        <v>#N/A</v>
      </c>
      <c r="F71" s="42"/>
      <c r="U71" s="169" t="s">
        <v>84</v>
      </c>
    </row>
    <row r="72" spans="1:21" s="1" customFormat="1" ht="17.25" customHeight="1" x14ac:dyDescent="0.2">
      <c r="A72" s="42"/>
      <c r="B72" s="43" t="s">
        <v>151</v>
      </c>
      <c r="C72" s="43" t="s">
        <v>152</v>
      </c>
      <c r="D72" s="43" t="s">
        <v>120</v>
      </c>
      <c r="E72" s="56" t="e">
        <f>VLOOKUP($C$5,Basis!$B$5:$BC$81,52,FALSE)</f>
        <v>#N/A</v>
      </c>
      <c r="F72" s="42"/>
      <c r="U72" s="169" t="s">
        <v>72</v>
      </c>
    </row>
    <row r="73" spans="1:21" s="1" customFormat="1" ht="17.25" customHeight="1" x14ac:dyDescent="0.2">
      <c r="A73" s="42"/>
      <c r="B73" s="43" t="s">
        <v>133</v>
      </c>
      <c r="C73" s="43"/>
      <c r="D73" s="43" t="s">
        <v>118</v>
      </c>
      <c r="E73" s="59" t="e">
        <f>VLOOKUP($C$5,Basis!$B$5:$BC$81,50,FALSE)</f>
        <v>#N/A</v>
      </c>
      <c r="F73" s="42"/>
      <c r="U73" s="169" t="s">
        <v>50</v>
      </c>
    </row>
    <row r="74" spans="1:21" s="1" customFormat="1" ht="22.5" customHeight="1" x14ac:dyDescent="0.2">
      <c r="A74" s="46"/>
      <c r="B74" s="46" t="str">
        <f>CONCATENATE("Definitiver Beitrag aus dem Sonderlastenausgleich Volksschule ",$C$7," an die Gemeinde ",$C$5)</f>
        <v xml:space="preserve">Definitiver Beitrag aus dem Sonderlastenausgleich Volksschule 2014 an die Gemeinde </v>
      </c>
      <c r="C74" s="47" t="s">
        <v>227</v>
      </c>
      <c r="D74" s="46" t="e">
        <f>IF(E74&gt;0,"Fr.","")</f>
        <v>#N/A</v>
      </c>
      <c r="E74" s="48" t="e">
        <f>IF(E69&gt;E70,(E69-E70)*E71*E72+E73*((E69-E70)*E71*E72),0)</f>
        <v>#N/A</v>
      </c>
      <c r="F74" s="46"/>
      <c r="U74" s="169" t="s">
        <v>98</v>
      </c>
    </row>
    <row r="75" spans="1:21" ht="5.25" customHeight="1" x14ac:dyDescent="0.2">
      <c r="U75" s="149" t="s">
        <v>81</v>
      </c>
    </row>
    <row r="76" spans="1:21" s="4" customFormat="1" ht="22.5" customHeight="1" x14ac:dyDescent="0.2">
      <c r="A76" s="55"/>
      <c r="B76" s="55" t="s">
        <v>153</v>
      </c>
      <c r="C76" s="55"/>
      <c r="D76" s="55"/>
      <c r="E76" s="55"/>
      <c r="F76" s="55"/>
      <c r="U76" s="149" t="s">
        <v>31</v>
      </c>
    </row>
    <row r="77" spans="1:21" s="1" customFormat="1" ht="22.5" customHeight="1" x14ac:dyDescent="0.2">
      <c r="A77" s="40"/>
      <c r="B77" s="41" t="s">
        <v>154</v>
      </c>
      <c r="C77" s="41" t="s">
        <v>203</v>
      </c>
      <c r="D77" s="40"/>
      <c r="E77" s="40"/>
      <c r="F77" s="40"/>
      <c r="U77" s="149" t="s">
        <v>99</v>
      </c>
    </row>
    <row r="78" spans="1:21" s="1" customFormat="1" ht="17.25" customHeight="1" x14ac:dyDescent="0.2">
      <c r="A78" s="42"/>
      <c r="B78" s="43" t="str">
        <f>CONCATENATE("Schülerzahl je Einwohner/in der Gemeinde ",$C$5," in der Sonderschule im Jahr ",$C$7-2)</f>
        <v>Schülerzahl je Einwohner/in der Gemeinde  in der Sonderschule im Jahr 2012</v>
      </c>
      <c r="C78" s="43" t="s">
        <v>228</v>
      </c>
      <c r="D78" s="43" t="s">
        <v>143</v>
      </c>
      <c r="E78" s="44" t="e">
        <f>VLOOKUP($C$5,Basis!$B$5:$BC$81,18,FALSE)/VLOOKUP($C$5,Basis!$B$5:$BC$81,14,FALSE)</f>
        <v>#N/A</v>
      </c>
      <c r="F78" s="42"/>
      <c r="U78" s="6">
        <v>2014</v>
      </c>
    </row>
    <row r="79" spans="1:21" s="1" customFormat="1" ht="17.25" customHeight="1" x14ac:dyDescent="0.2">
      <c r="A79" s="42"/>
      <c r="B79" s="43" t="str">
        <f>CONCATENATE("Schülerzahl je Einwohner/in in der Sonderschule im kantonalen Durchschnitt im Jahr ",$C$7-2)</f>
        <v>Schülerzahl je Einwohner/in in der Sonderschule im kantonalen Durchschnitt im Jahr 2012</v>
      </c>
      <c r="C79" s="43" t="s">
        <v>229</v>
      </c>
      <c r="D79" s="43" t="s">
        <v>143</v>
      </c>
      <c r="E79" s="44">
        <f>Basis!$S$82/Basis!$O$82</f>
        <v>2.8230608138627685E-3</v>
      </c>
      <c r="F79" s="42"/>
      <c r="U79" s="6"/>
    </row>
    <row r="80" spans="1:21" s="1" customFormat="1" ht="17.25" customHeight="1" x14ac:dyDescent="0.2">
      <c r="A80" s="42"/>
      <c r="B80" s="43" t="str">
        <f>CONCATENATE("Einwohnerzahl der Gemeinde ",$C$5," Ende ",$C$7-2)</f>
        <v>Einwohnerzahl der Gemeinde  Ende 2012</v>
      </c>
      <c r="C80" s="43" t="s">
        <v>214</v>
      </c>
      <c r="D80" s="43" t="s">
        <v>124</v>
      </c>
      <c r="E80" s="45" t="e">
        <f>VLOOKUP($C$5,Basis!$B$5:$BC$81,14,FALSE)</f>
        <v>#N/A</v>
      </c>
      <c r="F80" s="42"/>
      <c r="U80" s="6"/>
    </row>
    <row r="81" spans="1:21" s="1" customFormat="1" ht="17.25" customHeight="1" x14ac:dyDescent="0.2">
      <c r="A81" s="42"/>
      <c r="B81" s="43" t="s">
        <v>155</v>
      </c>
      <c r="C81" s="43" t="s">
        <v>156</v>
      </c>
      <c r="D81" s="43" t="s">
        <v>120</v>
      </c>
      <c r="E81" s="56" t="e">
        <f>VLOOKUP($C$5,Basis!$B$5:$BC$81,53,FALSE)</f>
        <v>#N/A</v>
      </c>
      <c r="F81" s="42"/>
      <c r="U81" s="6"/>
    </row>
    <row r="82" spans="1:21" s="1" customFormat="1" ht="17.25" customHeight="1" x14ac:dyDescent="0.2">
      <c r="A82" s="42"/>
      <c r="B82" s="43" t="s">
        <v>133</v>
      </c>
      <c r="C82" s="43"/>
      <c r="D82" s="43" t="s">
        <v>118</v>
      </c>
      <c r="E82" s="59" t="e">
        <f>VLOOKUP($C$5,Basis!$B$5:$BC$81,50,FALSE)</f>
        <v>#N/A</v>
      </c>
      <c r="F82" s="42"/>
      <c r="U82" s="60"/>
    </row>
    <row r="83" spans="1:21" s="1" customFormat="1" ht="22.5" customHeight="1" x14ac:dyDescent="0.2">
      <c r="A83" s="46"/>
      <c r="B83" s="46" t="str">
        <f>CONCATENATE("Definitiver Beitrag aus dem Sonderlastenausgleich Sonderschule ",$C$7," an die Gemeinde ",$C$5)</f>
        <v xml:space="preserve">Definitiver Beitrag aus dem Sonderlastenausgleich Sonderschule 2014 an die Gemeinde </v>
      </c>
      <c r="C83" s="47" t="s">
        <v>230</v>
      </c>
      <c r="D83" s="46" t="e">
        <f>IF(E83&gt;0,"Fr.","")</f>
        <v>#N/A</v>
      </c>
      <c r="E83" s="48" t="e">
        <f>IF(E78&gt;E79,(E78-E79)*E80*E81+E82*((E78-E79)*E80*E81),0)</f>
        <v>#N/A</v>
      </c>
      <c r="F83" s="46"/>
      <c r="U83" s="60"/>
    </row>
    <row r="84" spans="1:21" ht="5.25" customHeight="1" x14ac:dyDescent="0.2">
      <c r="A84" s="14"/>
      <c r="B84" s="14"/>
      <c r="C84" s="14"/>
      <c r="D84" s="14"/>
      <c r="E84" s="14"/>
      <c r="F84" s="14"/>
    </row>
    <row r="85" spans="1:21" ht="22.5" customHeight="1" x14ac:dyDescent="0.2">
      <c r="A85" s="17"/>
      <c r="B85" s="57" t="str">
        <f>CONCATENATE("Definitiver Beitrag an die Gemeinde ",$C$5," aus dem Sonderlastenausgleich Schule ",$C$7)</f>
        <v>Definitiver Beitrag an die Gemeinde  aus dem Sonderlastenausgleich Schule 2014</v>
      </c>
      <c r="C85" s="17"/>
      <c r="D85" s="17" t="e">
        <f>IF(E85&gt;0,"Fr.","")</f>
        <v>#N/A</v>
      </c>
      <c r="E85" s="58" t="e">
        <f>ROUND(SUM(E83,E74),-2)</f>
        <v>#N/A</v>
      </c>
      <c r="F85" s="17"/>
    </row>
    <row r="86" spans="1:21" ht="5.25" customHeight="1" x14ac:dyDescent="0.2"/>
    <row r="87" spans="1:21" s="4" customFormat="1" ht="22.5" customHeight="1" x14ac:dyDescent="0.2">
      <c r="A87" s="28"/>
      <c r="B87" s="28" t="s">
        <v>157</v>
      </c>
      <c r="C87" s="28"/>
      <c r="D87" s="28"/>
      <c r="E87" s="28"/>
      <c r="F87" s="28"/>
      <c r="U87" s="62"/>
    </row>
    <row r="88" spans="1:21" s="1" customFormat="1" ht="17.25" customHeight="1" x14ac:dyDescent="0.2">
      <c r="A88" s="33"/>
      <c r="B88" s="33" t="str">
        <f>CONCATENATE("Veränderung Landesindex der Konsumentenpreise Juni ",$C$7, " zu Juni 2007")</f>
        <v>Veränderung Landesindex der Konsumentenpreise Juni 2014 zu Juni 2007</v>
      </c>
      <c r="C88" s="33"/>
      <c r="D88" s="34" t="s">
        <v>118</v>
      </c>
      <c r="E88" s="63">
        <f>Basis!$BD$5/101.7%-1</f>
        <v>1.7699115044247593E-2</v>
      </c>
      <c r="F88" s="33"/>
      <c r="U88" s="60"/>
    </row>
    <row r="89" spans="1:21" s="1" customFormat="1" ht="17.25" customHeight="1" x14ac:dyDescent="0.2">
      <c r="A89" s="33"/>
      <c r="B89" s="34" t="s">
        <v>158</v>
      </c>
      <c r="C89" s="34" t="s">
        <v>159</v>
      </c>
      <c r="D89" s="33" t="e">
        <f>IF(E89&gt;0,"Fr.","")</f>
        <v>#N/A</v>
      </c>
      <c r="E89" s="64" t="e">
        <f>VLOOKUP($C$5,Basis!$B$5:$BC$81,6,FALSE)</f>
        <v>#N/A</v>
      </c>
      <c r="F89" s="33"/>
      <c r="U89" s="60"/>
    </row>
    <row r="90" spans="1:21" s="1" customFormat="1" ht="17.25" customHeight="1" x14ac:dyDescent="0.2">
      <c r="A90" s="33"/>
      <c r="B90" s="34" t="s">
        <v>160</v>
      </c>
      <c r="C90" s="34" t="s">
        <v>161</v>
      </c>
      <c r="D90" s="33" t="e">
        <f>IF(E90&gt;0,"Fr.","")</f>
        <v>#N/A</v>
      </c>
      <c r="E90" s="64" t="e">
        <f>VLOOKUP($C$5,Basis!$B$5:$BC$81,7,FALSE)</f>
        <v>#N/A</v>
      </c>
      <c r="F90" s="33"/>
      <c r="U90" s="60"/>
    </row>
    <row r="91" spans="1:21" s="4" customFormat="1" ht="22.5" customHeight="1" x14ac:dyDescent="0.2">
      <c r="A91" s="28"/>
      <c r="B91" s="29" t="str">
        <f>CONCATENATE("Definitiver Beitrag an die Gemeinde ",$C$5," aus dem Sonderlastenausgleich Stadt ",$C$7)</f>
        <v>Definitiver Beitrag an die Gemeinde  aus dem Sonderlastenausgleich Stadt 2014</v>
      </c>
      <c r="C91" s="28"/>
      <c r="D91" s="28" t="e">
        <f>IF(E91&gt;0,"Fr.","")</f>
        <v>#N/A</v>
      </c>
      <c r="E91" s="65" t="e">
        <f>SUM(E89:E90)</f>
        <v>#N/A</v>
      </c>
      <c r="F91" s="28"/>
      <c r="U91" s="62"/>
    </row>
    <row r="92" spans="1:21" ht="22.5" customHeight="1" thickBot="1" x14ac:dyDescent="0.25">
      <c r="B92" s="66"/>
    </row>
    <row r="93" spans="1:21" s="2" customFormat="1" ht="22.5" customHeight="1" thickBot="1" x14ac:dyDescent="0.25">
      <c r="A93" s="67"/>
      <c r="B93" s="67" t="s">
        <v>162</v>
      </c>
      <c r="C93" s="67"/>
      <c r="D93" s="67"/>
      <c r="E93" s="67"/>
      <c r="F93" s="67"/>
      <c r="U93" s="68"/>
    </row>
    <row r="94" spans="1:21" ht="5.25" customHeight="1" x14ac:dyDescent="0.2"/>
    <row r="95" spans="1:21" s="1" customFormat="1" ht="22.5" customHeight="1" x14ac:dyDescent="0.2">
      <c r="A95" s="69"/>
      <c r="B95" s="69" t="s">
        <v>163</v>
      </c>
      <c r="C95" s="70" t="s">
        <v>204</v>
      </c>
      <c r="D95" s="69"/>
      <c r="E95" s="69"/>
      <c r="F95" s="69"/>
      <c r="U95" s="60"/>
    </row>
    <row r="96" spans="1:21" s="1" customFormat="1" ht="17.25" customHeight="1" x14ac:dyDescent="0.2">
      <c r="A96" s="71"/>
      <c r="B96" s="71" t="str">
        <f>CONCATENATE("Steuerfuss ",$C$7-2," der Gemeinde ",$C$5," vor Steuerfussausgleich")</f>
        <v>Steuerfuss 2012 der Gemeinde  vor Steuerfussausgleich</v>
      </c>
      <c r="C96" s="72" t="s">
        <v>205</v>
      </c>
      <c r="D96" s="72" t="s">
        <v>118</v>
      </c>
      <c r="E96" s="73" t="e">
        <f>VLOOKUP($C$5,Basis!B5:BD81,12,FALSE)</f>
        <v>#N/A</v>
      </c>
      <c r="F96" s="71"/>
      <c r="U96" s="60"/>
    </row>
    <row r="97" spans="1:21" s="1" customFormat="1" ht="17.25" customHeight="1" x14ac:dyDescent="0.2">
      <c r="A97" s="71"/>
      <c r="B97" s="72" t="s">
        <v>164</v>
      </c>
      <c r="C97" s="72" t="s">
        <v>206</v>
      </c>
      <c r="D97" s="72" t="s">
        <v>118</v>
      </c>
      <c r="E97" s="74">
        <v>1.45</v>
      </c>
      <c r="F97" s="71"/>
      <c r="U97" s="60"/>
    </row>
    <row r="98" spans="1:21" s="1" customFormat="1" ht="17.25" customHeight="1" x14ac:dyDescent="0.2">
      <c r="A98" s="71"/>
      <c r="B98" s="72" t="str">
        <f>CONCATENATE("Einwohnerzahl der Gemeinde ",$C$5," Ende ",$C$7-2)</f>
        <v>Einwohnerzahl der Gemeinde  Ende 2012</v>
      </c>
      <c r="C98" s="72" t="s">
        <v>207</v>
      </c>
      <c r="D98" s="72" t="s">
        <v>124</v>
      </c>
      <c r="E98" s="75" t="e">
        <f>VLOOKUP($C$5,Basis!$B$5:$BC$81,14,FALSE)</f>
        <v>#N/A</v>
      </c>
      <c r="F98" s="71"/>
      <c r="U98" s="60"/>
    </row>
    <row r="99" spans="1:21" s="1" customFormat="1" ht="17.25" customHeight="1" x14ac:dyDescent="0.2">
      <c r="A99" s="71"/>
      <c r="B99" s="71" t="str">
        <f>CONCATENATE("Steuerkraft der Gemeinde ",$C$5)</f>
        <v xml:space="preserve">Steuerkraft der Gemeinde </v>
      </c>
      <c r="C99" s="72" t="s">
        <v>208</v>
      </c>
      <c r="D99" s="72" t="s">
        <v>120</v>
      </c>
      <c r="E99" s="76" t="e">
        <f>VLOOKUP($C$5,Basis!$B$5:$BC$81,47,FALSE)</f>
        <v>#N/A</v>
      </c>
      <c r="F99" s="71"/>
      <c r="U99" s="60"/>
    </row>
    <row r="100" spans="1:21" s="4" customFormat="1" ht="22.5" customHeight="1" x14ac:dyDescent="0.2">
      <c r="A100" s="77"/>
      <c r="B100" s="77" t="str">
        <f>CONCATENATE("Definitiver Beitrag an die Gemeinde ",$C$5," aus dem partiellen Steuerfussausgleich ",$C$7)</f>
        <v>Definitiver Beitrag an die Gemeinde  aus dem partiellen Steuerfussausgleich 2014</v>
      </c>
      <c r="C100" s="77" t="s">
        <v>209</v>
      </c>
      <c r="D100" s="77" t="e">
        <f>IF(E100&gt;0,"Fr.","")</f>
        <v>#N/A</v>
      </c>
      <c r="E100" s="78" t="e">
        <f>IF(VLOOKUP($C$5,Basis!B5:BD81,8,FALSE)&gt;0,VLOOKUP($C$5,Basis!B5:BD81,8,FALSE),0)</f>
        <v>#N/A</v>
      </c>
      <c r="F100" s="77"/>
      <c r="U100" s="62"/>
    </row>
    <row r="101" spans="1:21" s="80" customFormat="1" ht="22.5" customHeight="1" x14ac:dyDescent="0.2">
      <c r="A101" s="79"/>
      <c r="B101" s="79" t="s">
        <v>165</v>
      </c>
      <c r="C101" s="79"/>
      <c r="D101" s="79"/>
      <c r="E101" s="79"/>
      <c r="F101" s="79"/>
      <c r="U101" s="81"/>
    </row>
    <row r="102" spans="1:21" s="4" customFormat="1" ht="22.5" customHeight="1" x14ac:dyDescent="0.2">
      <c r="A102" s="77"/>
      <c r="B102" s="77" t="str">
        <f>CONCATENATE("Definitiver Beitrag an die Gemeinde ",$C$5," aus dem individuellen Sonderlastenausgleich ",$C$7)</f>
        <v>Definitiver Beitrag an die Gemeinde  aus dem individuellen Sonderlastenausgleich 2014</v>
      </c>
      <c r="C102" s="77" t="s">
        <v>166</v>
      </c>
      <c r="D102" s="77" t="e">
        <f>IF(E102&gt;0,"Fr.","")</f>
        <v>#N/A</v>
      </c>
      <c r="E102" s="82" t="e">
        <f>IF(VLOOKUP($C$5,Basis!B5:BD81,9,FALSE)&gt;0,VLOOKUP($C$5,Basis!B5:BD81,9,FALSE),0)</f>
        <v>#N/A</v>
      </c>
      <c r="F102" s="77"/>
      <c r="U102" s="62"/>
    </row>
    <row r="103" spans="1:21" ht="22.5" customHeight="1" thickBot="1" x14ac:dyDescent="0.25"/>
    <row r="104" spans="1:21" s="2" customFormat="1" ht="22.5" customHeight="1" thickBot="1" x14ac:dyDescent="0.25">
      <c r="A104" s="83"/>
      <c r="B104" s="83" t="s">
        <v>167</v>
      </c>
      <c r="C104" s="83"/>
      <c r="D104" s="83"/>
      <c r="E104" s="83"/>
      <c r="F104" s="83"/>
      <c r="U104" s="68"/>
    </row>
    <row r="105" spans="1:21" ht="5.25" customHeight="1" x14ac:dyDescent="0.2"/>
    <row r="106" spans="1:21" s="4" customFormat="1" ht="22.5" customHeight="1" x14ac:dyDescent="0.2">
      <c r="A106" s="84"/>
      <c r="B106" s="84" t="str">
        <f>CONCATENATE("Definitiver Beitrag an die Gemeinde ",$C$5," aus dem Übergangsausgleich ",$C$7)</f>
        <v>Definitiver Beitrag an die Gemeinde  aus dem Übergangsausgleich 2014</v>
      </c>
      <c r="C106" s="84"/>
      <c r="D106" s="84" t="e">
        <f>IF(E106&gt;0,"Fr.","")</f>
        <v>#N/A</v>
      </c>
      <c r="E106" s="85" t="e">
        <f>VLOOKUP($C$5,Basis!$B$5:$BC$81,10,FALSE)</f>
        <v>#N/A</v>
      </c>
      <c r="F106" s="84"/>
      <c r="U106" s="62"/>
    </row>
    <row r="107" spans="1:21" ht="30" customHeight="1" thickBot="1" x14ac:dyDescent="0.25"/>
    <row r="108" spans="1:21" s="2" customFormat="1" ht="22.5" customHeight="1" thickBot="1" x14ac:dyDescent="0.25">
      <c r="A108" s="86"/>
      <c r="B108" s="86" t="s">
        <v>232</v>
      </c>
      <c r="C108" s="86"/>
      <c r="D108" s="86"/>
      <c r="E108" s="86"/>
      <c r="F108" s="86"/>
      <c r="U108" s="68"/>
    </row>
    <row r="109" spans="1:21" ht="5.25" customHeight="1" x14ac:dyDescent="0.2"/>
    <row r="110" spans="1:21" s="1" customFormat="1" ht="17.25" customHeight="1" x14ac:dyDescent="0.2">
      <c r="A110" s="13"/>
      <c r="B110" s="13" t="s">
        <v>168</v>
      </c>
      <c r="C110" s="13"/>
      <c r="D110" s="13"/>
      <c r="E110" s="87" t="e">
        <f>E19</f>
        <v>#N/A</v>
      </c>
      <c r="F110" s="13"/>
      <c r="U110" s="60"/>
    </row>
    <row r="111" spans="1:21" s="1" customFormat="1" ht="17.25" customHeight="1" x14ac:dyDescent="0.2">
      <c r="A111" s="88"/>
      <c r="B111" s="88" t="s">
        <v>169</v>
      </c>
      <c r="C111" s="88"/>
      <c r="D111" s="88"/>
      <c r="E111" s="89" t="e">
        <f>E29</f>
        <v>#N/A</v>
      </c>
      <c r="F111" s="88"/>
      <c r="U111" s="60"/>
    </row>
    <row r="112" spans="1:21" s="1" customFormat="1" ht="17.25" customHeight="1" x14ac:dyDescent="0.2">
      <c r="A112" s="88"/>
      <c r="B112" s="88" t="s">
        <v>170</v>
      </c>
      <c r="C112" s="88"/>
      <c r="D112" s="88"/>
      <c r="E112" s="89" t="e">
        <f>E85</f>
        <v>#N/A</v>
      </c>
      <c r="F112" s="88"/>
      <c r="U112" s="60"/>
    </row>
    <row r="113" spans="1:21" s="1" customFormat="1" ht="17.25" customHeight="1" x14ac:dyDescent="0.2">
      <c r="A113" s="88"/>
      <c r="B113" s="88" t="s">
        <v>171</v>
      </c>
      <c r="C113" s="88"/>
      <c r="D113" s="88"/>
      <c r="E113" s="89" t="e">
        <f>E63</f>
        <v>#N/A</v>
      </c>
      <c r="F113" s="88"/>
      <c r="U113" s="60"/>
    </row>
    <row r="114" spans="1:21" s="1" customFormat="1" ht="17.25" customHeight="1" x14ac:dyDescent="0.2">
      <c r="A114" s="90"/>
      <c r="B114" s="90" t="s">
        <v>172</v>
      </c>
      <c r="C114" s="90"/>
      <c r="D114" s="90"/>
      <c r="E114" s="91" t="e">
        <f>E91</f>
        <v>#N/A</v>
      </c>
      <c r="F114" s="90"/>
      <c r="U114" s="60"/>
    </row>
    <row r="115" spans="1:21" s="1" customFormat="1" ht="17.25" customHeight="1" x14ac:dyDescent="0.2">
      <c r="A115" s="92"/>
      <c r="B115" s="92" t="s">
        <v>173</v>
      </c>
      <c r="C115" s="92"/>
      <c r="D115" s="92"/>
      <c r="E115" s="93" t="e">
        <f>IF(E100&gt;E102,E100,0)</f>
        <v>#N/A</v>
      </c>
      <c r="F115" s="92"/>
      <c r="U115" s="60"/>
    </row>
    <row r="116" spans="1:21" s="1" customFormat="1" ht="17.25" customHeight="1" x14ac:dyDescent="0.2">
      <c r="A116" s="94"/>
      <c r="B116" s="94" t="s">
        <v>174</v>
      </c>
      <c r="C116" s="94"/>
      <c r="D116" s="94"/>
      <c r="E116" s="95" t="e">
        <f>IF(E102&gt;E100,E102,0)</f>
        <v>#N/A</v>
      </c>
      <c r="F116" s="94"/>
      <c r="U116" s="60"/>
    </row>
    <row r="117" spans="1:21" s="1" customFormat="1" ht="17.25" customHeight="1" x14ac:dyDescent="0.2">
      <c r="A117" s="96"/>
      <c r="B117" s="96" t="s">
        <v>175</v>
      </c>
      <c r="C117" s="96"/>
      <c r="D117" s="96"/>
      <c r="E117" s="97" t="e">
        <f>E106</f>
        <v>#N/A</v>
      </c>
      <c r="F117" s="96"/>
      <c r="U117" s="60"/>
    </row>
    <row r="118" spans="1:21" s="4" customFormat="1" ht="22.5" customHeight="1" x14ac:dyDescent="0.2">
      <c r="A118" s="98"/>
      <c r="B118" s="98" t="s">
        <v>233</v>
      </c>
      <c r="C118" s="98"/>
      <c r="D118" s="98"/>
      <c r="E118" s="99" t="e">
        <f>SUM(E110:E117)</f>
        <v>#N/A</v>
      </c>
      <c r="F118" s="98"/>
      <c r="U118" s="62"/>
    </row>
    <row r="119" spans="1:21" s="1" customFormat="1" ht="17.25" customHeight="1" x14ac:dyDescent="0.2">
      <c r="A119" s="100"/>
      <c r="B119" s="100" t="s">
        <v>176</v>
      </c>
      <c r="C119" s="100"/>
      <c r="D119" s="100"/>
      <c r="E119" s="101" t="e">
        <f>E118/VLOOKUP($C$5,Basis!$B$5:$BC$81,14,FALSE)</f>
        <v>#N/A</v>
      </c>
      <c r="F119" s="100"/>
      <c r="U119" s="60"/>
    </row>
  </sheetData>
  <sheetProtection algorithmName="SHA-512" hashValue="OP4x4ayfr8d42y5nxkIQemAOj4VRX1ETJK1DPL/F0iPPiGZ/UYQG5oQFQpTpv3lFVezb7MuLzQqAQxo05IXx8Q==" saltValue="F73uunOJkdpm/t/xVdSTcw==" spinCount="100000" sheet="1" objects="1" scenarios="1" selectLockedCells="1"/>
  <sortState ref="U1:U77">
    <sortCondition ref="U1:U77"/>
  </sortState>
  <dataValidations count="2">
    <dataValidation type="list" allowBlank="1" showInputMessage="1" showErrorMessage="1" sqref="C7">
      <formula1>$U$78</formula1>
    </dataValidation>
    <dataValidation type="list" allowBlank="1" showInputMessage="1" showErrorMessage="1" sqref="C5">
      <formula1>$U$1:$U$77</formula1>
    </dataValidation>
  </dataValidations>
  <pageMargins left="0.23622047244094491" right="0.19685039370078741" top="0.19685039370078741" bottom="0.3" header="0.19685039370078741" footer="0.15748031496062992"/>
  <pageSetup paperSize="9" scale="70" fitToHeight="0" orientation="landscape" r:id="rId1"/>
  <headerFooter>
    <oddFooter>&amp;C&amp;8Seite - &amp;P -</oddFooter>
  </headerFooter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82"/>
  <sheetViews>
    <sheetView workbookViewId="0"/>
  </sheetViews>
  <sheetFormatPr baseColWidth="10" defaultColWidth="0" defaultRowHeight="11.25" zeroHeight="1" x14ac:dyDescent="0.2"/>
  <cols>
    <col min="1" max="1" width="3.42578125" style="118" bestFit="1" customWidth="1"/>
    <col min="2" max="2" width="17.85546875" style="200" bestFit="1" customWidth="1"/>
    <col min="3" max="6" width="9.5703125" style="118" customWidth="1"/>
    <col min="7" max="8" width="8.5703125" style="118" customWidth="1"/>
    <col min="9" max="9" width="8.7109375" style="118" bestFit="1" customWidth="1"/>
    <col min="10" max="11" width="8.7109375" style="118" customWidth="1"/>
    <col min="12" max="13" width="5.140625" style="118" bestFit="1" customWidth="1"/>
    <col min="14" max="15" width="7.42578125" style="118" bestFit="1" customWidth="1"/>
    <col min="16" max="16" width="7.28515625" style="118" bestFit="1" customWidth="1"/>
    <col min="17" max="17" width="10.42578125" style="118" bestFit="1" customWidth="1"/>
    <col min="18" max="19" width="7.28515625" style="118" bestFit="1" customWidth="1"/>
    <col min="20" max="20" width="11.7109375" style="118" bestFit="1" customWidth="1"/>
    <col min="21" max="22" width="10.85546875" style="118" bestFit="1" customWidth="1"/>
    <col min="23" max="23" width="11.7109375" style="118" bestFit="1" customWidth="1"/>
    <col min="24" max="26" width="10.85546875" style="118" bestFit="1" customWidth="1"/>
    <col min="27" max="27" width="11.7109375" style="118" bestFit="1" customWidth="1"/>
    <col min="28" max="28" width="7.85546875" style="118" customWidth="1"/>
    <col min="29" max="33" width="7.140625" style="118" customWidth="1"/>
    <col min="34" max="34" width="9.42578125" style="118" bestFit="1" customWidth="1"/>
    <col min="35" max="35" width="7.85546875" style="118" customWidth="1"/>
    <col min="36" max="40" width="7.140625" style="118" customWidth="1"/>
    <col min="41" max="41" width="9.42578125" style="118" bestFit="1" customWidth="1"/>
    <col min="42" max="42" width="7.85546875" style="118" customWidth="1"/>
    <col min="43" max="47" width="7.140625" style="118" customWidth="1"/>
    <col min="48" max="49" width="9.42578125" style="118" customWidth="1"/>
    <col min="50" max="50" width="5.42578125" style="118" customWidth="1"/>
    <col min="51" max="51" width="11.5703125" style="118" customWidth="1"/>
    <col min="52" max="52" width="7.7109375" style="118" customWidth="1"/>
    <col min="53" max="54" width="9.42578125" style="118" customWidth="1"/>
    <col min="55" max="56" width="7.28515625" style="118" customWidth="1"/>
    <col min="57" max="16384" width="11.42578125" style="118" hidden="1"/>
  </cols>
  <sheetData>
    <row r="1" spans="1:56" s="102" customFormat="1" ht="15" x14ac:dyDescent="0.25">
      <c r="A1" s="102" t="s">
        <v>231</v>
      </c>
      <c r="B1" s="103"/>
    </row>
    <row r="2" spans="1:56" s="105" customFormat="1" ht="12.75" x14ac:dyDescent="0.2">
      <c r="A2" s="105" t="s">
        <v>177</v>
      </c>
      <c r="B2" s="106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</row>
    <row r="3" spans="1:56" x14ac:dyDescent="0.2">
      <c r="A3" s="107"/>
      <c r="B3" s="108"/>
      <c r="C3" s="109" t="s">
        <v>178</v>
      </c>
      <c r="D3" s="110"/>
      <c r="E3" s="110"/>
      <c r="F3" s="110"/>
      <c r="G3" s="111"/>
      <c r="H3" s="111"/>
      <c r="I3" s="110"/>
      <c r="J3" s="110"/>
      <c r="K3" s="112"/>
      <c r="L3" s="113" t="s">
        <v>179</v>
      </c>
      <c r="M3" s="114"/>
      <c r="N3" s="114"/>
      <c r="O3" s="114"/>
      <c r="P3" s="114"/>
      <c r="Q3" s="115" t="s">
        <v>180</v>
      </c>
      <c r="R3" s="116" t="s">
        <v>181</v>
      </c>
      <c r="S3" s="111"/>
      <c r="T3" s="116" t="s">
        <v>182</v>
      </c>
      <c r="U3" s="111"/>
      <c r="V3" s="111"/>
      <c r="W3" s="111"/>
      <c r="X3" s="111"/>
      <c r="Y3" s="111"/>
      <c r="Z3" s="111"/>
      <c r="AA3" s="111"/>
      <c r="AB3" s="116" t="s">
        <v>210</v>
      </c>
      <c r="AC3" s="111"/>
      <c r="AD3" s="111"/>
      <c r="AE3" s="111"/>
      <c r="AF3" s="111"/>
      <c r="AG3" s="111"/>
      <c r="AH3" s="111"/>
      <c r="AI3" s="116" t="s">
        <v>211</v>
      </c>
      <c r="AJ3" s="111"/>
      <c r="AK3" s="111"/>
      <c r="AL3" s="111"/>
      <c r="AM3" s="111"/>
      <c r="AN3" s="111"/>
      <c r="AO3" s="111"/>
      <c r="AP3" s="116" t="s">
        <v>183</v>
      </c>
      <c r="AQ3" s="111"/>
      <c r="AR3" s="111"/>
      <c r="AS3" s="111"/>
      <c r="AT3" s="111"/>
      <c r="AU3" s="111"/>
      <c r="AV3" s="111"/>
      <c r="AW3" s="111"/>
      <c r="AX3" s="116" t="s">
        <v>184</v>
      </c>
      <c r="AY3" s="111"/>
      <c r="AZ3" s="111"/>
      <c r="BA3" s="111"/>
      <c r="BB3" s="111"/>
      <c r="BC3" s="111"/>
      <c r="BD3" s="117"/>
    </row>
    <row r="4" spans="1:56" s="129" customFormat="1" ht="75.75" customHeight="1" x14ac:dyDescent="0.2">
      <c r="A4" s="119" t="s">
        <v>0</v>
      </c>
      <c r="B4" s="120" t="s">
        <v>1</v>
      </c>
      <c r="C4" s="121" t="s">
        <v>2</v>
      </c>
      <c r="D4" s="122" t="s">
        <v>3</v>
      </c>
      <c r="E4" s="122" t="s">
        <v>4</v>
      </c>
      <c r="F4" s="122" t="s">
        <v>5</v>
      </c>
      <c r="G4" s="123" t="s">
        <v>28</v>
      </c>
      <c r="H4" s="123" t="s">
        <v>29</v>
      </c>
      <c r="I4" s="122" t="s">
        <v>185</v>
      </c>
      <c r="J4" s="122" t="s">
        <v>186</v>
      </c>
      <c r="K4" s="124" t="s">
        <v>187</v>
      </c>
      <c r="L4" s="125" t="s">
        <v>7</v>
      </c>
      <c r="M4" s="123" t="s">
        <v>6</v>
      </c>
      <c r="N4" s="123" t="s">
        <v>8</v>
      </c>
      <c r="O4" s="123" t="s">
        <v>9</v>
      </c>
      <c r="P4" s="123" t="s">
        <v>10</v>
      </c>
      <c r="Q4" s="126" t="s">
        <v>11</v>
      </c>
      <c r="R4" s="125" t="s">
        <v>12</v>
      </c>
      <c r="S4" s="123" t="s">
        <v>13</v>
      </c>
      <c r="T4" s="125" t="s">
        <v>188</v>
      </c>
      <c r="U4" s="123" t="s">
        <v>14</v>
      </c>
      <c r="V4" s="127" t="s">
        <v>15</v>
      </c>
      <c r="W4" s="125" t="s">
        <v>16</v>
      </c>
      <c r="X4" s="123" t="s">
        <v>17</v>
      </c>
      <c r="Y4" s="123" t="s">
        <v>18</v>
      </c>
      <c r="Z4" s="127" t="s">
        <v>19</v>
      </c>
      <c r="AA4" s="125" t="s">
        <v>20</v>
      </c>
      <c r="AB4" s="125" t="s">
        <v>21</v>
      </c>
      <c r="AC4" s="123" t="s">
        <v>22</v>
      </c>
      <c r="AD4" s="123" t="s">
        <v>23</v>
      </c>
      <c r="AE4" s="123" t="s">
        <v>24</v>
      </c>
      <c r="AF4" s="123" t="s">
        <v>189</v>
      </c>
      <c r="AG4" s="127" t="s">
        <v>190</v>
      </c>
      <c r="AH4" s="126" t="s">
        <v>25</v>
      </c>
      <c r="AI4" s="125" t="s">
        <v>21</v>
      </c>
      <c r="AJ4" s="123" t="s">
        <v>22</v>
      </c>
      <c r="AK4" s="123" t="s">
        <v>23</v>
      </c>
      <c r="AL4" s="123" t="s">
        <v>24</v>
      </c>
      <c r="AM4" s="123" t="s">
        <v>189</v>
      </c>
      <c r="AN4" s="127" t="s">
        <v>190</v>
      </c>
      <c r="AO4" s="126" t="s">
        <v>25</v>
      </c>
      <c r="AP4" s="125" t="s">
        <v>21</v>
      </c>
      <c r="AQ4" s="123" t="s">
        <v>22</v>
      </c>
      <c r="AR4" s="123" t="s">
        <v>23</v>
      </c>
      <c r="AS4" s="123" t="s">
        <v>24</v>
      </c>
      <c r="AT4" s="123" t="s">
        <v>189</v>
      </c>
      <c r="AU4" s="127" t="s">
        <v>190</v>
      </c>
      <c r="AV4" s="126" t="s">
        <v>25</v>
      </c>
      <c r="AW4" s="125" t="s">
        <v>191</v>
      </c>
      <c r="AX4" s="125" t="s">
        <v>26</v>
      </c>
      <c r="AY4" s="127" t="s">
        <v>192</v>
      </c>
      <c r="AZ4" s="125" t="s">
        <v>27</v>
      </c>
      <c r="BA4" s="123" t="s">
        <v>193</v>
      </c>
      <c r="BB4" s="123" t="s">
        <v>194</v>
      </c>
      <c r="BC4" s="127" t="s">
        <v>195</v>
      </c>
      <c r="BD4" s="128" t="s">
        <v>196</v>
      </c>
    </row>
    <row r="5" spans="1:56" x14ac:dyDescent="0.2">
      <c r="A5" s="130">
        <v>1</v>
      </c>
      <c r="B5" s="131" t="s">
        <v>30</v>
      </c>
      <c r="C5" s="132">
        <v>0</v>
      </c>
      <c r="D5" s="133">
        <v>0</v>
      </c>
      <c r="E5" s="133">
        <v>81600</v>
      </c>
      <c r="F5" s="133">
        <v>9863600</v>
      </c>
      <c r="G5" s="134">
        <v>7632700</v>
      </c>
      <c r="H5" s="134">
        <v>9159300</v>
      </c>
      <c r="I5" s="133">
        <v>0</v>
      </c>
      <c r="J5" s="133">
        <v>0</v>
      </c>
      <c r="K5" s="135">
        <v>0</v>
      </c>
      <c r="L5" s="136">
        <v>1.44</v>
      </c>
      <c r="M5" s="137">
        <v>1.44</v>
      </c>
      <c r="N5" s="133">
        <v>73505</v>
      </c>
      <c r="O5" s="133">
        <v>74111</v>
      </c>
      <c r="P5" s="133">
        <v>4123</v>
      </c>
      <c r="Q5" s="138">
        <v>10122.672199999999</v>
      </c>
      <c r="R5" s="139">
        <v>6664</v>
      </c>
      <c r="S5" s="134">
        <v>231</v>
      </c>
      <c r="T5" s="144">
        <v>3172474.8</v>
      </c>
      <c r="U5" s="205">
        <v>521344</v>
      </c>
      <c r="V5" s="206">
        <v>146597.04999999999</v>
      </c>
      <c r="W5" s="144">
        <v>19225775</v>
      </c>
      <c r="X5" s="205">
        <v>639000</v>
      </c>
      <c r="Y5" s="205">
        <v>1899000</v>
      </c>
      <c r="Z5" s="206">
        <v>3695192</v>
      </c>
      <c r="AA5" s="143">
        <v>3814391.97</v>
      </c>
      <c r="AB5" s="207">
        <v>2042.8093475936748</v>
      </c>
      <c r="AC5" s="207">
        <v>131.94224157086822</v>
      </c>
      <c r="AD5" s="207">
        <v>290.32797043285035</v>
      </c>
      <c r="AE5" s="207">
        <v>96.173213357442521</v>
      </c>
      <c r="AF5" s="207">
        <v>68.879561934562275</v>
      </c>
      <c r="AG5" s="207">
        <v>51.055634310591117</v>
      </c>
      <c r="AH5" s="143">
        <v>2681.1879691999889</v>
      </c>
      <c r="AI5" s="207">
        <v>2028.9029028655323</v>
      </c>
      <c r="AJ5" s="207">
        <v>133.18219427615335</v>
      </c>
      <c r="AK5" s="207">
        <v>304.06910445143097</v>
      </c>
      <c r="AL5" s="207">
        <v>100.24527332418299</v>
      </c>
      <c r="AM5" s="207">
        <v>72.545708914106314</v>
      </c>
      <c r="AN5" s="207">
        <v>58.282237454628863</v>
      </c>
      <c r="AO5" s="143">
        <v>2697.2274212860352</v>
      </c>
      <c r="AP5" s="140">
        <v>2035.8561252296035</v>
      </c>
      <c r="AQ5" s="141">
        <v>132.56221792351079</v>
      </c>
      <c r="AR5" s="114">
        <v>297.19853744214066</v>
      </c>
      <c r="AS5" s="114">
        <v>98.209243340812748</v>
      </c>
      <c r="AT5" s="141">
        <v>70.712635424334294</v>
      </c>
      <c r="AU5" s="142">
        <v>54.668935882609986</v>
      </c>
      <c r="AV5" s="143">
        <v>2689.207695243012</v>
      </c>
      <c r="AW5" s="144">
        <v>2298.3786631301355</v>
      </c>
      <c r="AX5" s="145">
        <v>0.94499999999999995</v>
      </c>
      <c r="AY5" s="146">
        <v>-0.47628684905473995</v>
      </c>
      <c r="AZ5" s="144">
        <v>1373.9</v>
      </c>
      <c r="BA5" s="141">
        <v>11606.50554833541</v>
      </c>
      <c r="BB5" s="141">
        <v>7150</v>
      </c>
      <c r="BC5" s="142">
        <v>210</v>
      </c>
      <c r="BD5" s="147">
        <v>1.0349999999999999</v>
      </c>
    </row>
    <row r="6" spans="1:56" x14ac:dyDescent="0.2">
      <c r="A6" s="148">
        <v>2</v>
      </c>
      <c r="B6" s="149" t="s">
        <v>31</v>
      </c>
      <c r="C6" s="150">
        <v>1219200</v>
      </c>
      <c r="D6" s="151">
        <v>0</v>
      </c>
      <c r="E6" s="151">
        <v>0</v>
      </c>
      <c r="F6" s="151">
        <v>101300</v>
      </c>
      <c r="G6" s="152"/>
      <c r="H6" s="152"/>
      <c r="I6" s="151">
        <v>0</v>
      </c>
      <c r="J6" s="151">
        <v>0</v>
      </c>
      <c r="K6" s="153">
        <v>0</v>
      </c>
      <c r="L6" s="154">
        <v>1.3</v>
      </c>
      <c r="M6" s="155">
        <v>1.3</v>
      </c>
      <c r="N6" s="151">
        <v>9431</v>
      </c>
      <c r="O6" s="151">
        <v>9572</v>
      </c>
      <c r="P6" s="151">
        <v>434</v>
      </c>
      <c r="Q6" s="156">
        <v>1317.4124000000002</v>
      </c>
      <c r="R6" s="157">
        <v>1071</v>
      </c>
      <c r="S6" s="158">
        <v>21</v>
      </c>
      <c r="T6" s="164">
        <v>297547.2</v>
      </c>
      <c r="U6" s="208">
        <v>40146.949999999997</v>
      </c>
      <c r="V6" s="209">
        <v>0</v>
      </c>
      <c r="W6" s="164">
        <v>1258871.25</v>
      </c>
      <c r="X6" s="208">
        <v>35105.800000000003</v>
      </c>
      <c r="Y6" s="208">
        <v>158115.20000000001</v>
      </c>
      <c r="Z6" s="209">
        <v>225808.55</v>
      </c>
      <c r="AA6" s="163">
        <v>384034.10000000003</v>
      </c>
      <c r="AB6" s="208">
        <v>1712.0454214378615</v>
      </c>
      <c r="AC6" s="208">
        <v>53.459901742480469</v>
      </c>
      <c r="AD6" s="208">
        <v>115.56211783833456</v>
      </c>
      <c r="AE6" s="208">
        <v>81.18373686317986</v>
      </c>
      <c r="AF6" s="208">
        <v>74.2512070123352</v>
      </c>
      <c r="AG6" s="208">
        <v>56.497497614250875</v>
      </c>
      <c r="AH6" s="163">
        <v>2092.9998825084426</v>
      </c>
      <c r="AI6" s="208">
        <v>1686.7555212999796</v>
      </c>
      <c r="AJ6" s="208">
        <v>53.006821980777268</v>
      </c>
      <c r="AK6" s="208">
        <v>132.3065921437526</v>
      </c>
      <c r="AL6" s="208">
        <v>82.785091164259555</v>
      </c>
      <c r="AM6" s="208">
        <v>53.955275804429583</v>
      </c>
      <c r="AN6" s="208">
        <v>48.307072712076888</v>
      </c>
      <c r="AO6" s="163">
        <v>2057.1163751052754</v>
      </c>
      <c r="AP6" s="159">
        <v>1699.4004713689205</v>
      </c>
      <c r="AQ6" s="160">
        <v>53.233361861628865</v>
      </c>
      <c r="AR6" s="161">
        <v>123.93435499104358</v>
      </c>
      <c r="AS6" s="161">
        <v>81.984414013719714</v>
      </c>
      <c r="AT6" s="160">
        <v>64.103241408382388</v>
      </c>
      <c r="AU6" s="162">
        <v>52.402285163163882</v>
      </c>
      <c r="AV6" s="163">
        <v>2075.0581288068593</v>
      </c>
      <c r="AW6" s="164">
        <v>2298.3786631301355</v>
      </c>
      <c r="AX6" s="165">
        <v>0.94499999999999995</v>
      </c>
      <c r="AY6" s="166">
        <v>0</v>
      </c>
      <c r="AZ6" s="164">
        <v>1373.9</v>
      </c>
      <c r="BA6" s="160">
        <v>11606.50554833541</v>
      </c>
      <c r="BB6" s="160">
        <v>7150</v>
      </c>
      <c r="BC6" s="162">
        <v>210</v>
      </c>
      <c r="BD6" s="167"/>
    </row>
    <row r="7" spans="1:56" x14ac:dyDescent="0.2">
      <c r="A7" s="168">
        <v>3</v>
      </c>
      <c r="B7" s="169" t="s">
        <v>32</v>
      </c>
      <c r="C7" s="170">
        <v>668900</v>
      </c>
      <c r="D7" s="104">
        <v>527000</v>
      </c>
      <c r="E7" s="104">
        <v>545500</v>
      </c>
      <c r="F7" s="104">
        <v>1400</v>
      </c>
      <c r="I7" s="104">
        <v>0</v>
      </c>
      <c r="J7" s="104">
        <v>0</v>
      </c>
      <c r="K7" s="171">
        <v>0</v>
      </c>
      <c r="L7" s="172">
        <v>1.54</v>
      </c>
      <c r="M7" s="173">
        <v>1.46</v>
      </c>
      <c r="N7" s="104">
        <v>1200</v>
      </c>
      <c r="O7" s="104">
        <v>1214</v>
      </c>
      <c r="P7" s="104">
        <v>61</v>
      </c>
      <c r="Q7" s="174">
        <v>691.31600000000003</v>
      </c>
      <c r="R7" s="175">
        <v>187</v>
      </c>
      <c r="S7" s="176">
        <v>1</v>
      </c>
      <c r="T7" s="182">
        <v>0</v>
      </c>
      <c r="U7" s="207">
        <v>5345.35</v>
      </c>
      <c r="V7" s="210">
        <v>17167.900000000001</v>
      </c>
      <c r="W7" s="182">
        <v>46347.649999999994</v>
      </c>
      <c r="X7" s="207">
        <v>0</v>
      </c>
      <c r="Y7" s="207">
        <v>-5052.8</v>
      </c>
      <c r="Z7" s="210">
        <v>0</v>
      </c>
      <c r="AA7" s="181">
        <v>41517.200000000004</v>
      </c>
      <c r="AB7" s="207">
        <v>1435.6780265364498</v>
      </c>
      <c r="AC7" s="207">
        <v>27.476638888888889</v>
      </c>
      <c r="AD7" s="207">
        <v>37.176527777777778</v>
      </c>
      <c r="AE7" s="207">
        <v>83.833365552247201</v>
      </c>
      <c r="AF7" s="207">
        <v>57.104888888888894</v>
      </c>
      <c r="AG7" s="207">
        <v>90.946777777777783</v>
      </c>
      <c r="AH7" s="181">
        <v>1732.2162254220302</v>
      </c>
      <c r="AI7" s="207">
        <v>1608.7713884794357</v>
      </c>
      <c r="AJ7" s="207">
        <v>26.75897858319605</v>
      </c>
      <c r="AK7" s="207">
        <v>37.360680944535964</v>
      </c>
      <c r="AL7" s="207">
        <v>86.6104922401191</v>
      </c>
      <c r="AM7" s="207">
        <v>69.986847885777053</v>
      </c>
      <c r="AN7" s="207">
        <v>38.990115321252063</v>
      </c>
      <c r="AO7" s="181">
        <v>1868.4785034543158</v>
      </c>
      <c r="AP7" s="177">
        <v>1522.2247075079426</v>
      </c>
      <c r="AQ7" s="178">
        <v>27.11780873604247</v>
      </c>
      <c r="AR7" s="179">
        <v>37.268604361156875</v>
      </c>
      <c r="AS7" s="179">
        <v>85.221928896183158</v>
      </c>
      <c r="AT7" s="178">
        <v>63.545868387332973</v>
      </c>
      <c r="AU7" s="180">
        <v>64.968446549514923</v>
      </c>
      <c r="AV7" s="181">
        <v>1800.3473644381731</v>
      </c>
      <c r="AW7" s="182">
        <v>2298.3786631301355</v>
      </c>
      <c r="AX7" s="183">
        <v>0.94499999999999995</v>
      </c>
      <c r="AY7" s="184">
        <v>0</v>
      </c>
      <c r="AZ7" s="182">
        <v>1373.9</v>
      </c>
      <c r="BA7" s="178">
        <v>11606.50554833541</v>
      </c>
      <c r="BB7" s="178">
        <v>7150</v>
      </c>
      <c r="BC7" s="180">
        <v>210</v>
      </c>
      <c r="BD7" s="185"/>
    </row>
    <row r="8" spans="1:56" x14ac:dyDescent="0.2">
      <c r="A8" s="148">
        <v>4</v>
      </c>
      <c r="B8" s="149" t="s">
        <v>33</v>
      </c>
      <c r="C8" s="150">
        <v>682900</v>
      </c>
      <c r="D8" s="151">
        <v>755900</v>
      </c>
      <c r="E8" s="151">
        <v>396300</v>
      </c>
      <c r="F8" s="151">
        <v>0</v>
      </c>
      <c r="G8" s="152"/>
      <c r="H8" s="152"/>
      <c r="I8" s="151">
        <v>0</v>
      </c>
      <c r="J8" s="151">
        <v>0</v>
      </c>
      <c r="K8" s="153">
        <v>0</v>
      </c>
      <c r="L8" s="154">
        <v>1.42</v>
      </c>
      <c r="M8" s="155">
        <v>1.42</v>
      </c>
      <c r="N8" s="151">
        <v>1165</v>
      </c>
      <c r="O8" s="151">
        <v>1178</v>
      </c>
      <c r="P8" s="151">
        <v>50</v>
      </c>
      <c r="Q8" s="156">
        <v>848.82699999999988</v>
      </c>
      <c r="R8" s="157">
        <v>170</v>
      </c>
      <c r="S8" s="158">
        <v>3</v>
      </c>
      <c r="T8" s="164">
        <v>0</v>
      </c>
      <c r="U8" s="208">
        <v>0</v>
      </c>
      <c r="V8" s="209">
        <v>0</v>
      </c>
      <c r="W8" s="164">
        <v>62615.95</v>
      </c>
      <c r="X8" s="208">
        <v>0</v>
      </c>
      <c r="Y8" s="208">
        <v>1142</v>
      </c>
      <c r="Z8" s="209">
        <v>0</v>
      </c>
      <c r="AA8" s="163">
        <v>36327.550000000003</v>
      </c>
      <c r="AB8" s="208">
        <v>1511.8198572583726</v>
      </c>
      <c r="AC8" s="208">
        <v>24.271216022889838</v>
      </c>
      <c r="AD8" s="208">
        <v>64.97407725321888</v>
      </c>
      <c r="AE8" s="208">
        <v>78.665073019814571</v>
      </c>
      <c r="AF8" s="208">
        <v>33.954935622317599</v>
      </c>
      <c r="AG8" s="208">
        <v>41.28002861230329</v>
      </c>
      <c r="AH8" s="163">
        <v>1754.9651877889169</v>
      </c>
      <c r="AI8" s="208">
        <v>1506.7243931347894</v>
      </c>
      <c r="AJ8" s="208">
        <v>33.47113752122241</v>
      </c>
      <c r="AK8" s="208">
        <v>35.586078098471987</v>
      </c>
      <c r="AL8" s="208">
        <v>80.394413809506247</v>
      </c>
      <c r="AM8" s="208">
        <v>24.158602150537632</v>
      </c>
      <c r="AN8" s="208">
        <v>90.909705715902675</v>
      </c>
      <c r="AO8" s="163">
        <v>1771.2443304304302</v>
      </c>
      <c r="AP8" s="159">
        <v>1509.2721251965809</v>
      </c>
      <c r="AQ8" s="160">
        <v>28.871176772056124</v>
      </c>
      <c r="AR8" s="161">
        <v>50.280077675845433</v>
      </c>
      <c r="AS8" s="161">
        <v>79.529743414660402</v>
      </c>
      <c r="AT8" s="160">
        <v>29.056768886427616</v>
      </c>
      <c r="AU8" s="162">
        <v>66.094867164102979</v>
      </c>
      <c r="AV8" s="163">
        <v>1763.1047591096733</v>
      </c>
      <c r="AW8" s="164">
        <v>2298.3786631301355</v>
      </c>
      <c r="AX8" s="165">
        <v>0.94499999999999995</v>
      </c>
      <c r="AY8" s="166">
        <v>0</v>
      </c>
      <c r="AZ8" s="164">
        <v>1373.9</v>
      </c>
      <c r="BA8" s="160">
        <v>11606.50554833541</v>
      </c>
      <c r="BB8" s="160">
        <v>7150</v>
      </c>
      <c r="BC8" s="162">
        <v>210</v>
      </c>
      <c r="BD8" s="167"/>
    </row>
    <row r="9" spans="1:56" x14ac:dyDescent="0.2">
      <c r="A9" s="168">
        <v>5</v>
      </c>
      <c r="B9" s="169" t="s">
        <v>34</v>
      </c>
      <c r="C9" s="170">
        <v>0</v>
      </c>
      <c r="D9" s="104">
        <v>0</v>
      </c>
      <c r="E9" s="104">
        <v>0</v>
      </c>
      <c r="F9" s="104">
        <v>0</v>
      </c>
      <c r="I9" s="104">
        <v>0</v>
      </c>
      <c r="J9" s="104">
        <v>0</v>
      </c>
      <c r="K9" s="171">
        <v>0</v>
      </c>
      <c r="L9" s="172">
        <v>0.92</v>
      </c>
      <c r="M9" s="173">
        <v>0.92</v>
      </c>
      <c r="N9" s="104">
        <v>3518</v>
      </c>
      <c r="O9" s="104">
        <v>3576</v>
      </c>
      <c r="P9" s="104">
        <v>136</v>
      </c>
      <c r="Q9" s="174">
        <v>1010.0218</v>
      </c>
      <c r="R9" s="175">
        <v>499</v>
      </c>
      <c r="S9" s="176">
        <v>6</v>
      </c>
      <c r="T9" s="182">
        <v>0</v>
      </c>
      <c r="U9" s="207">
        <v>0</v>
      </c>
      <c r="V9" s="210">
        <v>279.7</v>
      </c>
      <c r="W9" s="182">
        <v>70024.649999999994</v>
      </c>
      <c r="X9" s="207">
        <v>0</v>
      </c>
      <c r="Y9" s="207">
        <v>5757.65</v>
      </c>
      <c r="Z9" s="210">
        <v>0</v>
      </c>
      <c r="AA9" s="181">
        <v>114172.29999999999</v>
      </c>
      <c r="AB9" s="207">
        <v>3336.5897578765357</v>
      </c>
      <c r="AC9" s="207">
        <v>26.104159560356262</v>
      </c>
      <c r="AD9" s="207">
        <v>162.81510327837788</v>
      </c>
      <c r="AE9" s="207">
        <v>113.43547994257659</v>
      </c>
      <c r="AF9" s="207">
        <v>68.868495357210534</v>
      </c>
      <c r="AG9" s="207">
        <v>65.039236308508634</v>
      </c>
      <c r="AH9" s="181">
        <v>3772.8522323235657</v>
      </c>
      <c r="AI9" s="207">
        <v>3540.6786220935451</v>
      </c>
      <c r="AJ9" s="207">
        <v>21.995712155108126</v>
      </c>
      <c r="AK9" s="207">
        <v>144.79610365398955</v>
      </c>
      <c r="AL9" s="207">
        <v>118.466520979793</v>
      </c>
      <c r="AM9" s="207">
        <v>52.868232662192398</v>
      </c>
      <c r="AN9" s="207">
        <v>134.82194258016406</v>
      </c>
      <c r="AO9" s="181">
        <v>4013.6271341247925</v>
      </c>
      <c r="AP9" s="177">
        <v>3438.6341899850404</v>
      </c>
      <c r="AQ9" s="178">
        <v>24.049935857732194</v>
      </c>
      <c r="AR9" s="179">
        <v>153.8056034661837</v>
      </c>
      <c r="AS9" s="179">
        <v>115.9510004611848</v>
      </c>
      <c r="AT9" s="178">
        <v>60.868364009701466</v>
      </c>
      <c r="AU9" s="180">
        <v>99.930589444336348</v>
      </c>
      <c r="AV9" s="181">
        <v>3893.2396832241789</v>
      </c>
      <c r="AW9" s="182">
        <v>2298.3786631301355</v>
      </c>
      <c r="AX9" s="183">
        <v>0.94499999999999995</v>
      </c>
      <c r="AY9" s="184">
        <v>-1</v>
      </c>
      <c r="AZ9" s="182">
        <v>1373.9</v>
      </c>
      <c r="BA9" s="178">
        <v>11606.50554833541</v>
      </c>
      <c r="BB9" s="178">
        <v>7150</v>
      </c>
      <c r="BC9" s="180">
        <v>210</v>
      </c>
      <c r="BD9" s="185"/>
    </row>
    <row r="10" spans="1:56" x14ac:dyDescent="0.2">
      <c r="A10" s="148">
        <v>6</v>
      </c>
      <c r="B10" s="149" t="s">
        <v>35</v>
      </c>
      <c r="C10" s="150">
        <v>0</v>
      </c>
      <c r="D10" s="151">
        <v>0</v>
      </c>
      <c r="E10" s="151">
        <v>13100</v>
      </c>
      <c r="F10" s="151">
        <v>25200</v>
      </c>
      <c r="G10" s="152"/>
      <c r="H10" s="152"/>
      <c r="I10" s="151">
        <v>0</v>
      </c>
      <c r="J10" s="151">
        <v>0</v>
      </c>
      <c r="K10" s="153">
        <v>0</v>
      </c>
      <c r="L10" s="154">
        <v>1.1399999999999999</v>
      </c>
      <c r="M10" s="155">
        <v>1.1399999999999999</v>
      </c>
      <c r="N10" s="151">
        <v>9144</v>
      </c>
      <c r="O10" s="151">
        <v>9151</v>
      </c>
      <c r="P10" s="151">
        <v>529</v>
      </c>
      <c r="Q10" s="156">
        <v>1208.9659999999999</v>
      </c>
      <c r="R10" s="157">
        <v>982</v>
      </c>
      <c r="S10" s="158">
        <v>28</v>
      </c>
      <c r="T10" s="164">
        <v>157360.85</v>
      </c>
      <c r="U10" s="208">
        <v>126500</v>
      </c>
      <c r="V10" s="209">
        <v>864.55</v>
      </c>
      <c r="W10" s="164">
        <v>384906</v>
      </c>
      <c r="X10" s="208">
        <v>7207.55</v>
      </c>
      <c r="Y10" s="208">
        <v>231026.35</v>
      </c>
      <c r="Z10" s="209">
        <v>86983.81</v>
      </c>
      <c r="AA10" s="163">
        <v>311379</v>
      </c>
      <c r="AB10" s="208">
        <v>1899.1083053397169</v>
      </c>
      <c r="AC10" s="208">
        <v>42.614938757655302</v>
      </c>
      <c r="AD10" s="208">
        <v>115.54369714202392</v>
      </c>
      <c r="AE10" s="208">
        <v>84.583780830345688</v>
      </c>
      <c r="AF10" s="208">
        <v>53.555555555555557</v>
      </c>
      <c r="AG10" s="208">
        <v>70.472419072615935</v>
      </c>
      <c r="AH10" s="163">
        <v>2265.8786966979137</v>
      </c>
      <c r="AI10" s="208">
        <v>1939.7450525894494</v>
      </c>
      <c r="AJ10" s="208">
        <v>48.167070994062577</v>
      </c>
      <c r="AK10" s="208">
        <v>187.14645029687102</v>
      </c>
      <c r="AL10" s="208">
        <v>88.627770195386972</v>
      </c>
      <c r="AM10" s="208">
        <v>52.911430444760136</v>
      </c>
      <c r="AN10" s="208">
        <v>45.161137216333366</v>
      </c>
      <c r="AO10" s="163">
        <v>2361.7589117368634</v>
      </c>
      <c r="AP10" s="159">
        <v>1919.4266789645831</v>
      </c>
      <c r="AQ10" s="160">
        <v>45.39100487585894</v>
      </c>
      <c r="AR10" s="161">
        <v>151.34507371944747</v>
      </c>
      <c r="AS10" s="161">
        <v>86.60577551286633</v>
      </c>
      <c r="AT10" s="160">
        <v>53.23349300015785</v>
      </c>
      <c r="AU10" s="162">
        <v>57.816778144474654</v>
      </c>
      <c r="AV10" s="163">
        <v>2313.8188042173883</v>
      </c>
      <c r="AW10" s="164">
        <v>2298.3786631301355</v>
      </c>
      <c r="AX10" s="165">
        <v>0.94499999999999995</v>
      </c>
      <c r="AY10" s="166">
        <v>-0.1306197680879817</v>
      </c>
      <c r="AZ10" s="164">
        <v>1373.9</v>
      </c>
      <c r="BA10" s="160">
        <v>11606.50554833541</v>
      </c>
      <c r="BB10" s="160">
        <v>7150</v>
      </c>
      <c r="BC10" s="162">
        <v>210</v>
      </c>
      <c r="BD10" s="167"/>
    </row>
    <row r="11" spans="1:56" x14ac:dyDescent="0.2">
      <c r="A11" s="168">
        <v>7</v>
      </c>
      <c r="B11" s="169" t="s">
        <v>36</v>
      </c>
      <c r="C11" s="170">
        <v>0</v>
      </c>
      <c r="D11" s="104">
        <v>0</v>
      </c>
      <c r="E11" s="104">
        <v>0</v>
      </c>
      <c r="F11" s="104">
        <v>41400</v>
      </c>
      <c r="I11" s="104">
        <v>0</v>
      </c>
      <c r="J11" s="104">
        <v>0</v>
      </c>
      <c r="K11" s="171">
        <v>0</v>
      </c>
      <c r="L11" s="172">
        <v>1.27</v>
      </c>
      <c r="M11" s="173">
        <v>1.27</v>
      </c>
      <c r="N11" s="104">
        <v>3342</v>
      </c>
      <c r="O11" s="104">
        <v>3402</v>
      </c>
      <c r="P11" s="104">
        <v>175</v>
      </c>
      <c r="Q11" s="174">
        <v>577.21100000000001</v>
      </c>
      <c r="R11" s="175">
        <v>379</v>
      </c>
      <c r="S11" s="176">
        <v>7</v>
      </c>
      <c r="T11" s="182">
        <v>17225</v>
      </c>
      <c r="U11" s="207">
        <v>28</v>
      </c>
      <c r="V11" s="210">
        <v>32634.25</v>
      </c>
      <c r="W11" s="182">
        <v>417889.89</v>
      </c>
      <c r="X11" s="207">
        <v>12140</v>
      </c>
      <c r="Y11" s="207">
        <v>21593.35</v>
      </c>
      <c r="Z11" s="210">
        <v>1078.6500000000001</v>
      </c>
      <c r="AA11" s="181">
        <v>145310.20000000001</v>
      </c>
      <c r="AB11" s="207">
        <v>1755.4580564119428</v>
      </c>
      <c r="AC11" s="207">
        <v>140.20204468382207</v>
      </c>
      <c r="AD11" s="207">
        <v>184.72956313584683</v>
      </c>
      <c r="AE11" s="207">
        <v>99.525383394786175</v>
      </c>
      <c r="AF11" s="207">
        <v>101.3840813883902</v>
      </c>
      <c r="AG11" s="207">
        <v>26.238709355675244</v>
      </c>
      <c r="AH11" s="181">
        <v>2307.5378383704638</v>
      </c>
      <c r="AI11" s="207">
        <v>1819.3365782141882</v>
      </c>
      <c r="AJ11" s="207">
        <v>138.88228493043306</v>
      </c>
      <c r="AK11" s="207">
        <v>217.12197726827361</v>
      </c>
      <c r="AL11" s="207">
        <v>102.85760821246039</v>
      </c>
      <c r="AM11" s="207">
        <v>122.57393689986284</v>
      </c>
      <c r="AN11" s="207">
        <v>41.681716637272189</v>
      </c>
      <c r="AO11" s="181">
        <v>2442.4541021624905</v>
      </c>
      <c r="AP11" s="177">
        <v>1787.3973173130655</v>
      </c>
      <c r="AQ11" s="178">
        <v>139.54216480712756</v>
      </c>
      <c r="AR11" s="179">
        <v>200.92577020206022</v>
      </c>
      <c r="AS11" s="179">
        <v>101.19149580362328</v>
      </c>
      <c r="AT11" s="178">
        <v>111.97900914412652</v>
      </c>
      <c r="AU11" s="180">
        <v>33.960212996473714</v>
      </c>
      <c r="AV11" s="181">
        <v>2374.9959702664769</v>
      </c>
      <c r="AW11" s="182">
        <v>2298.3786631301355</v>
      </c>
      <c r="AX11" s="183">
        <v>0.94499999999999995</v>
      </c>
      <c r="AY11" s="184">
        <v>-0.18695316770519024</v>
      </c>
      <c r="AZ11" s="182">
        <v>1373.9</v>
      </c>
      <c r="BA11" s="178">
        <v>11606.50554833541</v>
      </c>
      <c r="BB11" s="178">
        <v>7150</v>
      </c>
      <c r="BC11" s="180">
        <v>210</v>
      </c>
      <c r="BD11" s="185"/>
    </row>
    <row r="12" spans="1:56" x14ac:dyDescent="0.2">
      <c r="A12" s="148">
        <v>8</v>
      </c>
      <c r="B12" s="149" t="s">
        <v>37</v>
      </c>
      <c r="C12" s="150">
        <v>0</v>
      </c>
      <c r="D12" s="151">
        <v>60400</v>
      </c>
      <c r="E12" s="151">
        <v>62800</v>
      </c>
      <c r="F12" s="151">
        <v>0</v>
      </c>
      <c r="G12" s="152"/>
      <c r="H12" s="152"/>
      <c r="I12" s="151">
        <v>0</v>
      </c>
      <c r="J12" s="151">
        <v>0</v>
      </c>
      <c r="K12" s="153">
        <v>0</v>
      </c>
      <c r="L12" s="154">
        <v>1.28</v>
      </c>
      <c r="M12" s="155">
        <v>1.28</v>
      </c>
      <c r="N12" s="151">
        <v>853</v>
      </c>
      <c r="O12" s="151">
        <v>835</v>
      </c>
      <c r="P12" s="151">
        <v>19</v>
      </c>
      <c r="Q12" s="156">
        <v>274.279</v>
      </c>
      <c r="R12" s="157">
        <v>104</v>
      </c>
      <c r="S12" s="158">
        <v>1</v>
      </c>
      <c r="T12" s="164">
        <v>0</v>
      </c>
      <c r="U12" s="208">
        <v>0</v>
      </c>
      <c r="V12" s="209">
        <v>0</v>
      </c>
      <c r="W12" s="164">
        <v>37607.550000000003</v>
      </c>
      <c r="X12" s="208">
        <v>0</v>
      </c>
      <c r="Y12" s="208">
        <v>21640</v>
      </c>
      <c r="Z12" s="209">
        <v>0</v>
      </c>
      <c r="AA12" s="163">
        <v>20758.600000000002</v>
      </c>
      <c r="AB12" s="208">
        <v>1811.1997513803367</v>
      </c>
      <c r="AC12" s="208">
        <v>17.030011723329423</v>
      </c>
      <c r="AD12" s="208">
        <v>77.896951934349346</v>
      </c>
      <c r="AE12" s="208">
        <v>86.250694087059841</v>
      </c>
      <c r="AF12" s="208">
        <v>69.998202422821421</v>
      </c>
      <c r="AG12" s="208">
        <v>88.570027354435325</v>
      </c>
      <c r="AH12" s="163">
        <v>2150.9456389023321</v>
      </c>
      <c r="AI12" s="208">
        <v>1937.3818310746926</v>
      </c>
      <c r="AJ12" s="208">
        <v>21.422834331337327</v>
      </c>
      <c r="AK12" s="208">
        <v>-14.719161676646706</v>
      </c>
      <c r="AL12" s="208">
        <v>93.878610915918614</v>
      </c>
      <c r="AM12" s="208">
        <v>67.30459081836328</v>
      </c>
      <c r="AN12" s="208">
        <v>734.42878243512973</v>
      </c>
      <c r="AO12" s="163">
        <v>2839.6974878987949</v>
      </c>
      <c r="AP12" s="159">
        <v>1874.2907912275145</v>
      </c>
      <c r="AQ12" s="160">
        <v>19.226423027333375</v>
      </c>
      <c r="AR12" s="161">
        <v>31.58889512885132</v>
      </c>
      <c r="AS12" s="161">
        <v>90.064652501489235</v>
      </c>
      <c r="AT12" s="160">
        <v>68.651396620592351</v>
      </c>
      <c r="AU12" s="162">
        <v>411.49940489478251</v>
      </c>
      <c r="AV12" s="163">
        <v>2495.3215634005633</v>
      </c>
      <c r="AW12" s="164">
        <v>2298.3786631301355</v>
      </c>
      <c r="AX12" s="165">
        <v>0.94499999999999995</v>
      </c>
      <c r="AY12" s="166">
        <v>-0.297751855515625</v>
      </c>
      <c r="AZ12" s="164">
        <v>1373.9</v>
      </c>
      <c r="BA12" s="160">
        <v>11606.50554833541</v>
      </c>
      <c r="BB12" s="160">
        <v>7150</v>
      </c>
      <c r="BC12" s="162">
        <v>210</v>
      </c>
      <c r="BD12" s="167"/>
    </row>
    <row r="13" spans="1:56" x14ac:dyDescent="0.2">
      <c r="A13" s="168">
        <v>9</v>
      </c>
      <c r="B13" s="169" t="s">
        <v>38</v>
      </c>
      <c r="C13" s="170">
        <v>0</v>
      </c>
      <c r="D13" s="104">
        <v>0</v>
      </c>
      <c r="E13" s="104">
        <v>0</v>
      </c>
      <c r="F13" s="104">
        <v>0</v>
      </c>
      <c r="I13" s="104">
        <v>0</v>
      </c>
      <c r="J13" s="104">
        <v>0</v>
      </c>
      <c r="K13" s="171">
        <v>0</v>
      </c>
      <c r="L13" s="172">
        <v>1</v>
      </c>
      <c r="M13" s="173">
        <v>0.9</v>
      </c>
      <c r="N13" s="104">
        <v>1269</v>
      </c>
      <c r="O13" s="104">
        <v>1286</v>
      </c>
      <c r="P13" s="104">
        <v>54</v>
      </c>
      <c r="Q13" s="174">
        <v>210.18600000000001</v>
      </c>
      <c r="R13" s="175">
        <v>159</v>
      </c>
      <c r="S13" s="176">
        <v>5</v>
      </c>
      <c r="T13" s="182">
        <v>0</v>
      </c>
      <c r="U13" s="207">
        <v>0</v>
      </c>
      <c r="V13" s="210">
        <v>0</v>
      </c>
      <c r="W13" s="182">
        <v>19331</v>
      </c>
      <c r="X13" s="207">
        <v>0</v>
      </c>
      <c r="Y13" s="207">
        <v>0</v>
      </c>
      <c r="Z13" s="210">
        <v>0</v>
      </c>
      <c r="AA13" s="181">
        <v>20758.600000000002</v>
      </c>
      <c r="AB13" s="207">
        <v>2760.6246678281341</v>
      </c>
      <c r="AC13" s="207">
        <v>46.668741791436823</v>
      </c>
      <c r="AD13" s="207">
        <v>397.52973469923825</v>
      </c>
      <c r="AE13" s="207">
        <v>111.97022707245935</v>
      </c>
      <c r="AF13" s="207">
        <v>75.392461255581821</v>
      </c>
      <c r="AG13" s="207">
        <v>167.8337536117678</v>
      </c>
      <c r="AH13" s="181">
        <v>3560.0195862586183</v>
      </c>
      <c r="AI13" s="207">
        <v>2760.4638389519673</v>
      </c>
      <c r="AJ13" s="207">
        <v>56.482374287195434</v>
      </c>
      <c r="AK13" s="207">
        <v>374.56583722135821</v>
      </c>
      <c r="AL13" s="207">
        <v>114.75828352290962</v>
      </c>
      <c r="AM13" s="207">
        <v>42.608709175738724</v>
      </c>
      <c r="AN13" s="207">
        <v>36.888387765681699</v>
      </c>
      <c r="AO13" s="181">
        <v>3385.7674309248509</v>
      </c>
      <c r="AP13" s="177">
        <v>2760.5442533900505</v>
      </c>
      <c r="AQ13" s="178">
        <v>51.575558039316128</v>
      </c>
      <c r="AR13" s="179">
        <v>386.04778596029826</v>
      </c>
      <c r="AS13" s="179">
        <v>113.36425529768448</v>
      </c>
      <c r="AT13" s="178">
        <v>59.000585215660273</v>
      </c>
      <c r="AU13" s="180">
        <v>102.36107068872475</v>
      </c>
      <c r="AV13" s="181">
        <v>3472.8935085917342</v>
      </c>
      <c r="AW13" s="182">
        <v>2298.3786631301355</v>
      </c>
      <c r="AX13" s="183">
        <v>0.94499999999999995</v>
      </c>
      <c r="AY13" s="184">
        <v>-1</v>
      </c>
      <c r="AZ13" s="182">
        <v>1373.9</v>
      </c>
      <c r="BA13" s="178">
        <v>11606.50554833541</v>
      </c>
      <c r="BB13" s="178">
        <v>7150</v>
      </c>
      <c r="BC13" s="180">
        <v>210</v>
      </c>
      <c r="BD13" s="185"/>
    </row>
    <row r="14" spans="1:56" x14ac:dyDescent="0.2">
      <c r="A14" s="148">
        <v>10</v>
      </c>
      <c r="B14" s="149" t="s">
        <v>39</v>
      </c>
      <c r="C14" s="150">
        <v>388900</v>
      </c>
      <c r="D14" s="151">
        <v>341700</v>
      </c>
      <c r="E14" s="151">
        <v>454700</v>
      </c>
      <c r="F14" s="151">
        <v>18900</v>
      </c>
      <c r="G14" s="152"/>
      <c r="H14" s="152"/>
      <c r="I14" s="151">
        <v>0</v>
      </c>
      <c r="J14" s="151">
        <v>0</v>
      </c>
      <c r="K14" s="153">
        <v>0</v>
      </c>
      <c r="L14" s="154">
        <v>1.54</v>
      </c>
      <c r="M14" s="155">
        <v>1.49</v>
      </c>
      <c r="N14" s="151">
        <v>1042</v>
      </c>
      <c r="O14" s="151">
        <v>1039</v>
      </c>
      <c r="P14" s="151">
        <v>28</v>
      </c>
      <c r="Q14" s="156">
        <v>512.12760000000003</v>
      </c>
      <c r="R14" s="157">
        <v>159</v>
      </c>
      <c r="S14" s="158">
        <v>2</v>
      </c>
      <c r="T14" s="164">
        <v>63978.45</v>
      </c>
      <c r="U14" s="208">
        <v>0</v>
      </c>
      <c r="V14" s="209">
        <v>4629.1000000000004</v>
      </c>
      <c r="W14" s="164">
        <v>-5534.4</v>
      </c>
      <c r="X14" s="208">
        <v>0</v>
      </c>
      <c r="Y14" s="208">
        <v>-860</v>
      </c>
      <c r="Z14" s="209">
        <v>0</v>
      </c>
      <c r="AA14" s="163">
        <v>15568.95</v>
      </c>
      <c r="AB14" s="208">
        <v>1636.0325577786996</v>
      </c>
      <c r="AC14" s="208">
        <v>13.780454254638517</v>
      </c>
      <c r="AD14" s="208">
        <v>9.5699296225207942</v>
      </c>
      <c r="AE14" s="208">
        <v>80.279410185672475</v>
      </c>
      <c r="AF14" s="208">
        <v>60.989731285988476</v>
      </c>
      <c r="AG14" s="208">
        <v>64.49500959692898</v>
      </c>
      <c r="AH14" s="163">
        <v>1865.1470927244486</v>
      </c>
      <c r="AI14" s="208">
        <v>1737.1629874158134</v>
      </c>
      <c r="AJ14" s="208">
        <v>14.029066410009623</v>
      </c>
      <c r="AK14" s="208">
        <v>11.205742701315366</v>
      </c>
      <c r="AL14" s="208">
        <v>88.088862163982242</v>
      </c>
      <c r="AM14" s="208">
        <v>42.09688803336541</v>
      </c>
      <c r="AN14" s="208">
        <v>92.667949951876807</v>
      </c>
      <c r="AO14" s="163">
        <v>1985.2514966763626</v>
      </c>
      <c r="AP14" s="159">
        <v>1686.5977725972566</v>
      </c>
      <c r="AQ14" s="160">
        <v>13.90476033232407</v>
      </c>
      <c r="AR14" s="161">
        <v>10.387836161918081</v>
      </c>
      <c r="AS14" s="161">
        <v>84.184136174827358</v>
      </c>
      <c r="AT14" s="160">
        <v>51.543309659676943</v>
      </c>
      <c r="AU14" s="162">
        <v>78.581479774402894</v>
      </c>
      <c r="AV14" s="163">
        <v>1925.1992947004057</v>
      </c>
      <c r="AW14" s="164">
        <v>2298.3786631301355</v>
      </c>
      <c r="AX14" s="165">
        <v>0.94499999999999995</v>
      </c>
      <c r="AY14" s="166">
        <v>0</v>
      </c>
      <c r="AZ14" s="164">
        <v>1373.9</v>
      </c>
      <c r="BA14" s="160">
        <v>11606.50554833541</v>
      </c>
      <c r="BB14" s="160">
        <v>7150</v>
      </c>
      <c r="BC14" s="162">
        <v>210</v>
      </c>
      <c r="BD14" s="167"/>
    </row>
    <row r="15" spans="1:56" x14ac:dyDescent="0.2">
      <c r="A15" s="168">
        <v>11</v>
      </c>
      <c r="B15" s="169" t="s">
        <v>40</v>
      </c>
      <c r="C15" s="170">
        <v>89600</v>
      </c>
      <c r="D15" s="104">
        <v>420300</v>
      </c>
      <c r="E15" s="104">
        <v>149800</v>
      </c>
      <c r="F15" s="104">
        <v>0</v>
      </c>
      <c r="I15" s="104">
        <v>0</v>
      </c>
      <c r="J15" s="104">
        <v>0</v>
      </c>
      <c r="K15" s="171">
        <v>0</v>
      </c>
      <c r="L15" s="172">
        <v>1.47</v>
      </c>
      <c r="M15" s="173">
        <v>1.47</v>
      </c>
      <c r="N15" s="104">
        <v>2171</v>
      </c>
      <c r="O15" s="104">
        <v>2238</v>
      </c>
      <c r="P15" s="104">
        <v>84</v>
      </c>
      <c r="Q15" s="174">
        <v>873.2650000000001</v>
      </c>
      <c r="R15" s="175">
        <v>271</v>
      </c>
      <c r="S15" s="176">
        <v>5</v>
      </c>
      <c r="T15" s="182">
        <v>0</v>
      </c>
      <c r="U15" s="207">
        <v>0</v>
      </c>
      <c r="V15" s="210">
        <v>0</v>
      </c>
      <c r="W15" s="182">
        <v>186846.58</v>
      </c>
      <c r="X15" s="207">
        <v>11309</v>
      </c>
      <c r="Y15" s="207">
        <v>26814.15</v>
      </c>
      <c r="Z15" s="210">
        <v>6252.7</v>
      </c>
      <c r="AA15" s="181">
        <v>31137.9</v>
      </c>
      <c r="AB15" s="207">
        <v>1919.3576101876263</v>
      </c>
      <c r="AC15" s="207">
        <v>35.440887455857521</v>
      </c>
      <c r="AD15" s="207">
        <v>21.0615691693536</v>
      </c>
      <c r="AE15" s="207">
        <v>86.349539733255341</v>
      </c>
      <c r="AF15" s="207">
        <v>81.750959619223096</v>
      </c>
      <c r="AG15" s="207">
        <v>27.392169507139563</v>
      </c>
      <c r="AH15" s="181">
        <v>2171.3527356724553</v>
      </c>
      <c r="AI15" s="207">
        <v>1836.3014630765242</v>
      </c>
      <c r="AJ15" s="207">
        <v>23.542969913613341</v>
      </c>
      <c r="AK15" s="207">
        <v>20.473145665773011</v>
      </c>
      <c r="AL15" s="207">
        <v>85.804976518439688</v>
      </c>
      <c r="AM15" s="207">
        <v>40.771522192433721</v>
      </c>
      <c r="AN15" s="207">
        <v>109.71540065534704</v>
      </c>
      <c r="AO15" s="181">
        <v>2116.609478022131</v>
      </c>
      <c r="AP15" s="177">
        <v>1877.8295366320754</v>
      </c>
      <c r="AQ15" s="178">
        <v>29.491928684735431</v>
      </c>
      <c r="AR15" s="179">
        <v>20.767357417563304</v>
      </c>
      <c r="AS15" s="179">
        <v>86.077258125847521</v>
      </c>
      <c r="AT15" s="178">
        <v>61.261240905828409</v>
      </c>
      <c r="AU15" s="180">
        <v>68.553785081243305</v>
      </c>
      <c r="AV15" s="181">
        <v>2143.9811068472936</v>
      </c>
      <c r="AW15" s="182">
        <v>2298.3786631301355</v>
      </c>
      <c r="AX15" s="183">
        <v>0.94499999999999995</v>
      </c>
      <c r="AY15" s="184">
        <v>0</v>
      </c>
      <c r="AZ15" s="182">
        <v>1373.9</v>
      </c>
      <c r="BA15" s="178">
        <v>11606.50554833541</v>
      </c>
      <c r="BB15" s="178">
        <v>7150</v>
      </c>
      <c r="BC15" s="180">
        <v>210</v>
      </c>
      <c r="BD15" s="185"/>
    </row>
    <row r="16" spans="1:56" x14ac:dyDescent="0.2">
      <c r="A16" s="148">
        <v>12</v>
      </c>
      <c r="B16" s="149" t="s">
        <v>41</v>
      </c>
      <c r="C16" s="150">
        <v>0</v>
      </c>
      <c r="D16" s="151">
        <v>0</v>
      </c>
      <c r="E16" s="151">
        <v>0</v>
      </c>
      <c r="F16" s="151">
        <v>27500</v>
      </c>
      <c r="G16" s="152"/>
      <c r="H16" s="152"/>
      <c r="I16" s="151">
        <v>0</v>
      </c>
      <c r="J16" s="151">
        <v>0</v>
      </c>
      <c r="K16" s="153">
        <v>0</v>
      </c>
      <c r="L16" s="154">
        <v>1.19</v>
      </c>
      <c r="M16" s="155">
        <v>1.1599999999999999</v>
      </c>
      <c r="N16" s="151">
        <v>6965</v>
      </c>
      <c r="O16" s="151">
        <v>7027</v>
      </c>
      <c r="P16" s="151">
        <v>323</v>
      </c>
      <c r="Q16" s="156">
        <v>1131.8310000000004</v>
      </c>
      <c r="R16" s="157">
        <v>696</v>
      </c>
      <c r="S16" s="158">
        <v>15</v>
      </c>
      <c r="T16" s="164">
        <v>80428.5</v>
      </c>
      <c r="U16" s="208">
        <v>26150</v>
      </c>
      <c r="V16" s="209">
        <v>33127.65</v>
      </c>
      <c r="W16" s="164">
        <v>586953</v>
      </c>
      <c r="X16" s="208">
        <v>0</v>
      </c>
      <c r="Y16" s="208">
        <v>136828.25</v>
      </c>
      <c r="Z16" s="209">
        <v>78106.600000000006</v>
      </c>
      <c r="AA16" s="163">
        <v>269861.8</v>
      </c>
      <c r="AB16" s="208">
        <v>1939.6291429104926</v>
      </c>
      <c r="AC16" s="208">
        <v>81.262167982771018</v>
      </c>
      <c r="AD16" s="208">
        <v>64.796018186168936</v>
      </c>
      <c r="AE16" s="208">
        <v>84.609942686501256</v>
      </c>
      <c r="AF16" s="208">
        <v>120.96013400335009</v>
      </c>
      <c r="AG16" s="208">
        <v>99.184292893036613</v>
      </c>
      <c r="AH16" s="163">
        <v>2390.4416986623201</v>
      </c>
      <c r="AI16" s="208">
        <v>1957.4267115494713</v>
      </c>
      <c r="AJ16" s="208">
        <v>83.358555097006786</v>
      </c>
      <c r="AK16" s="208">
        <v>41.597504862198193</v>
      </c>
      <c r="AL16" s="208">
        <v>87.830225759310295</v>
      </c>
      <c r="AM16" s="208">
        <v>76.437744888762396</v>
      </c>
      <c r="AN16" s="208">
        <v>41.816232626535744</v>
      </c>
      <c r="AO16" s="163">
        <v>2288.466974783285</v>
      </c>
      <c r="AP16" s="159">
        <v>1948.527927229982</v>
      </c>
      <c r="AQ16" s="160">
        <v>82.310361539888902</v>
      </c>
      <c r="AR16" s="161">
        <v>53.196761524183565</v>
      </c>
      <c r="AS16" s="161">
        <v>86.220084222905768</v>
      </c>
      <c r="AT16" s="160">
        <v>98.698939446056244</v>
      </c>
      <c r="AU16" s="162">
        <v>70.500262759786182</v>
      </c>
      <c r="AV16" s="163">
        <v>2339.4543367228025</v>
      </c>
      <c r="AW16" s="164">
        <v>2298.3786631301355</v>
      </c>
      <c r="AX16" s="165">
        <v>0.94499999999999995</v>
      </c>
      <c r="AY16" s="166">
        <v>-0.15422558035899592</v>
      </c>
      <c r="AZ16" s="164">
        <v>1373.9</v>
      </c>
      <c r="BA16" s="160">
        <v>11606.50554833541</v>
      </c>
      <c r="BB16" s="160">
        <v>7150</v>
      </c>
      <c r="BC16" s="162">
        <v>210</v>
      </c>
      <c r="BD16" s="167"/>
    </row>
    <row r="17" spans="1:56" x14ac:dyDescent="0.2">
      <c r="A17" s="168">
        <v>13</v>
      </c>
      <c r="B17" s="169" t="s">
        <v>42</v>
      </c>
      <c r="C17" s="170">
        <v>4127500</v>
      </c>
      <c r="D17" s="104">
        <v>0</v>
      </c>
      <c r="E17" s="104">
        <v>34500</v>
      </c>
      <c r="F17" s="104">
        <v>729300</v>
      </c>
      <c r="I17" s="104">
        <v>526800</v>
      </c>
      <c r="J17" s="104">
        <v>0</v>
      </c>
      <c r="K17" s="171">
        <v>0</v>
      </c>
      <c r="L17" s="172">
        <v>1.52</v>
      </c>
      <c r="M17" s="173">
        <v>1.49</v>
      </c>
      <c r="N17" s="104">
        <v>8840</v>
      </c>
      <c r="O17" s="104">
        <v>8918</v>
      </c>
      <c r="P17" s="104">
        <v>533</v>
      </c>
      <c r="Q17" s="174">
        <v>1136.6349999999998</v>
      </c>
      <c r="R17" s="175">
        <v>906</v>
      </c>
      <c r="S17" s="176">
        <v>30</v>
      </c>
      <c r="T17" s="182">
        <v>277813.25</v>
      </c>
      <c r="U17" s="207">
        <v>42668.4</v>
      </c>
      <c r="V17" s="210">
        <v>197354.35</v>
      </c>
      <c r="W17" s="182">
        <v>1858391.75</v>
      </c>
      <c r="X17" s="207">
        <v>89587.1</v>
      </c>
      <c r="Y17" s="207">
        <v>-1999.89</v>
      </c>
      <c r="Z17" s="210">
        <v>378339.15</v>
      </c>
      <c r="AA17" s="181">
        <v>404792.65</v>
      </c>
      <c r="AB17" s="207">
        <v>1330.3402401436899</v>
      </c>
      <c r="AC17" s="207">
        <v>171.46233408748117</v>
      </c>
      <c r="AD17" s="207">
        <v>167.401802413273</v>
      </c>
      <c r="AE17" s="207">
        <v>73.672785536814331</v>
      </c>
      <c r="AF17" s="207">
        <v>77.735916289592765</v>
      </c>
      <c r="AG17" s="207">
        <v>63.314426847662141</v>
      </c>
      <c r="AH17" s="181">
        <v>1883.9275053185133</v>
      </c>
      <c r="AI17" s="207">
        <v>1353.3927552641856</v>
      </c>
      <c r="AJ17" s="207">
        <v>172.4044142931898</v>
      </c>
      <c r="AK17" s="207">
        <v>181.98459669582115</v>
      </c>
      <c r="AL17" s="207">
        <v>75.549109344994974</v>
      </c>
      <c r="AM17" s="207">
        <v>48.886940270613742</v>
      </c>
      <c r="AN17" s="207">
        <v>57.365220153995672</v>
      </c>
      <c r="AO17" s="181">
        <v>1889.583036022801</v>
      </c>
      <c r="AP17" s="177">
        <v>1341.8664977039377</v>
      </c>
      <c r="AQ17" s="178">
        <v>171.93337419033548</v>
      </c>
      <c r="AR17" s="179">
        <v>174.69319955454708</v>
      </c>
      <c r="AS17" s="179">
        <v>74.610947440904653</v>
      </c>
      <c r="AT17" s="178">
        <v>63.311428280103257</v>
      </c>
      <c r="AU17" s="180">
        <v>60.339823500828906</v>
      </c>
      <c r="AV17" s="181">
        <v>1886.7552706706572</v>
      </c>
      <c r="AW17" s="182">
        <v>2298.3786631301355</v>
      </c>
      <c r="AX17" s="183">
        <v>0.94499999999999995</v>
      </c>
      <c r="AY17" s="184">
        <v>0</v>
      </c>
      <c r="AZ17" s="182">
        <v>1373.9</v>
      </c>
      <c r="BA17" s="178">
        <v>11606.50554833541</v>
      </c>
      <c r="BB17" s="178">
        <v>7150</v>
      </c>
      <c r="BC17" s="180">
        <v>210</v>
      </c>
      <c r="BD17" s="185"/>
    </row>
    <row r="18" spans="1:56" x14ac:dyDescent="0.2">
      <c r="A18" s="148">
        <v>14</v>
      </c>
      <c r="B18" s="149" t="s">
        <v>43</v>
      </c>
      <c r="C18" s="150">
        <v>0</v>
      </c>
      <c r="D18" s="151">
        <v>0</v>
      </c>
      <c r="E18" s="151">
        <v>109200</v>
      </c>
      <c r="F18" s="151">
        <v>0</v>
      </c>
      <c r="G18" s="152"/>
      <c r="H18" s="152"/>
      <c r="I18" s="151">
        <v>0</v>
      </c>
      <c r="J18" s="151">
        <v>0</v>
      </c>
      <c r="K18" s="153">
        <v>0</v>
      </c>
      <c r="L18" s="154">
        <v>1.37</v>
      </c>
      <c r="M18" s="155">
        <v>1.29</v>
      </c>
      <c r="N18" s="151">
        <v>6302</v>
      </c>
      <c r="O18" s="151">
        <v>6351</v>
      </c>
      <c r="P18" s="151">
        <v>239</v>
      </c>
      <c r="Q18" s="156">
        <v>1414.884</v>
      </c>
      <c r="R18" s="157">
        <v>748</v>
      </c>
      <c r="S18" s="158">
        <v>19</v>
      </c>
      <c r="T18" s="164">
        <v>1445.2</v>
      </c>
      <c r="U18" s="208">
        <v>2160.83</v>
      </c>
      <c r="V18" s="209">
        <v>0</v>
      </c>
      <c r="W18" s="164">
        <v>449701.64999999997</v>
      </c>
      <c r="X18" s="208">
        <v>5703</v>
      </c>
      <c r="Y18" s="208">
        <v>100627</v>
      </c>
      <c r="Z18" s="209">
        <v>97402</v>
      </c>
      <c r="AA18" s="163">
        <v>166068.80000000002</v>
      </c>
      <c r="AB18" s="208">
        <v>1782.064684405846</v>
      </c>
      <c r="AC18" s="208">
        <v>207.04460488733733</v>
      </c>
      <c r="AD18" s="208">
        <v>190.5762139003491</v>
      </c>
      <c r="AE18" s="208">
        <v>106.49830183850513</v>
      </c>
      <c r="AF18" s="208">
        <v>155.22320956310165</v>
      </c>
      <c r="AG18" s="208">
        <v>70.465799217179722</v>
      </c>
      <c r="AH18" s="163">
        <v>2511.8728138123188</v>
      </c>
      <c r="AI18" s="208">
        <v>1843.5340466013431</v>
      </c>
      <c r="AJ18" s="208">
        <v>250.61028709389598</v>
      </c>
      <c r="AK18" s="208">
        <v>389.24475935548202</v>
      </c>
      <c r="AL18" s="208">
        <v>107.08581595227894</v>
      </c>
      <c r="AM18" s="208">
        <v>80.960478664777199</v>
      </c>
      <c r="AN18" s="208">
        <v>73.304844381462232</v>
      </c>
      <c r="AO18" s="163">
        <v>2744.7402320492397</v>
      </c>
      <c r="AP18" s="159">
        <v>1812.7993655035946</v>
      </c>
      <c r="AQ18" s="160">
        <v>228.82744599061664</v>
      </c>
      <c r="AR18" s="161">
        <v>289.91048662791559</v>
      </c>
      <c r="AS18" s="161">
        <v>106.79205889539203</v>
      </c>
      <c r="AT18" s="160">
        <v>118.09184411393943</v>
      </c>
      <c r="AU18" s="162">
        <v>71.885321799320977</v>
      </c>
      <c r="AV18" s="163">
        <v>2628.3065229307795</v>
      </c>
      <c r="AW18" s="164">
        <v>2298.3786631301355</v>
      </c>
      <c r="AX18" s="165">
        <v>0.94499999999999995</v>
      </c>
      <c r="AY18" s="166">
        <v>-0.42020759108014494</v>
      </c>
      <c r="AZ18" s="164">
        <v>1373.9</v>
      </c>
      <c r="BA18" s="160">
        <v>11606.50554833541</v>
      </c>
      <c r="BB18" s="160">
        <v>7150</v>
      </c>
      <c r="BC18" s="162">
        <v>210</v>
      </c>
      <c r="BD18" s="167"/>
    </row>
    <row r="19" spans="1:56" x14ac:dyDescent="0.2">
      <c r="A19" s="168">
        <v>15</v>
      </c>
      <c r="B19" s="169" t="s">
        <v>44</v>
      </c>
      <c r="C19" s="170">
        <v>753700</v>
      </c>
      <c r="D19" s="104">
        <v>0</v>
      </c>
      <c r="E19" s="104">
        <v>0</v>
      </c>
      <c r="F19" s="104">
        <v>146200</v>
      </c>
      <c r="I19" s="104">
        <v>0</v>
      </c>
      <c r="J19" s="104">
        <v>0</v>
      </c>
      <c r="K19" s="171">
        <v>0</v>
      </c>
      <c r="L19" s="172">
        <v>1.42</v>
      </c>
      <c r="M19" s="173">
        <v>1.39</v>
      </c>
      <c r="N19" s="104">
        <v>3303</v>
      </c>
      <c r="O19" s="104">
        <v>3241</v>
      </c>
      <c r="P19" s="104">
        <v>179</v>
      </c>
      <c r="Q19" s="174">
        <v>574.55299999999988</v>
      </c>
      <c r="R19" s="175">
        <v>353</v>
      </c>
      <c r="S19" s="176">
        <v>7</v>
      </c>
      <c r="T19" s="182">
        <v>0</v>
      </c>
      <c r="U19" s="207">
        <v>0</v>
      </c>
      <c r="V19" s="210">
        <v>31167.8</v>
      </c>
      <c r="W19" s="182">
        <v>540713.56000000006</v>
      </c>
      <c r="X19" s="207">
        <v>6249</v>
      </c>
      <c r="Y19" s="207">
        <v>48375</v>
      </c>
      <c r="Z19" s="210">
        <v>1330</v>
      </c>
      <c r="AA19" s="181">
        <v>186827.40000000002</v>
      </c>
      <c r="AB19" s="207">
        <v>1459.2086073035791</v>
      </c>
      <c r="AC19" s="207">
        <v>116.66336663639117</v>
      </c>
      <c r="AD19" s="207">
        <v>209.72232314057928</v>
      </c>
      <c r="AE19" s="207">
        <v>87.969646220232377</v>
      </c>
      <c r="AF19" s="207">
        <v>41.954788576041977</v>
      </c>
      <c r="AG19" s="207">
        <v>34.757836310424871</v>
      </c>
      <c r="AH19" s="181">
        <v>1950.2765681872486</v>
      </c>
      <c r="AI19" s="207">
        <v>1549.0079075440369</v>
      </c>
      <c r="AJ19" s="207">
        <v>125.44163324076931</v>
      </c>
      <c r="AK19" s="207">
        <v>175.32617504885323</v>
      </c>
      <c r="AL19" s="207">
        <v>90.418391365288329</v>
      </c>
      <c r="AM19" s="207">
        <v>53.253522575336824</v>
      </c>
      <c r="AN19" s="207">
        <v>79.101203332304848</v>
      </c>
      <c r="AO19" s="181">
        <v>2072.5488331065894</v>
      </c>
      <c r="AP19" s="177">
        <v>1504.108257423808</v>
      </c>
      <c r="AQ19" s="178">
        <v>121.05249993858024</v>
      </c>
      <c r="AR19" s="179">
        <v>192.52424909471625</v>
      </c>
      <c r="AS19" s="179">
        <v>89.194018792760346</v>
      </c>
      <c r="AT19" s="178">
        <v>47.604155575689404</v>
      </c>
      <c r="AU19" s="180">
        <v>56.929519821364863</v>
      </c>
      <c r="AV19" s="181">
        <v>2011.4127006469191</v>
      </c>
      <c r="AW19" s="182">
        <v>2298.3786631301355</v>
      </c>
      <c r="AX19" s="183">
        <v>0.94499999999999995</v>
      </c>
      <c r="AY19" s="184">
        <v>0</v>
      </c>
      <c r="AZ19" s="182">
        <v>1373.9</v>
      </c>
      <c r="BA19" s="178">
        <v>11606.50554833541</v>
      </c>
      <c r="BB19" s="178">
        <v>7150</v>
      </c>
      <c r="BC19" s="180">
        <v>210</v>
      </c>
      <c r="BD19" s="185"/>
    </row>
    <row r="20" spans="1:56" x14ac:dyDescent="0.2">
      <c r="A20" s="148">
        <v>16</v>
      </c>
      <c r="B20" s="149" t="s">
        <v>45</v>
      </c>
      <c r="C20" s="150">
        <v>2605500</v>
      </c>
      <c r="D20" s="151">
        <v>0</v>
      </c>
      <c r="E20" s="151">
        <v>91400</v>
      </c>
      <c r="F20" s="151">
        <v>92800</v>
      </c>
      <c r="G20" s="152"/>
      <c r="H20" s="152"/>
      <c r="I20" s="151">
        <v>0</v>
      </c>
      <c r="J20" s="151">
        <v>0</v>
      </c>
      <c r="K20" s="153">
        <v>0</v>
      </c>
      <c r="L20" s="154">
        <v>1.39</v>
      </c>
      <c r="M20" s="155">
        <v>1.39</v>
      </c>
      <c r="N20" s="151">
        <v>5667</v>
      </c>
      <c r="O20" s="151">
        <v>5742</v>
      </c>
      <c r="P20" s="151">
        <v>255</v>
      </c>
      <c r="Q20" s="156">
        <v>1022.736</v>
      </c>
      <c r="R20" s="157">
        <v>609</v>
      </c>
      <c r="S20" s="158">
        <v>29</v>
      </c>
      <c r="T20" s="164">
        <v>34263</v>
      </c>
      <c r="U20" s="208">
        <v>281452.3</v>
      </c>
      <c r="V20" s="209">
        <v>41918.9</v>
      </c>
      <c r="W20" s="164">
        <v>445762.7</v>
      </c>
      <c r="X20" s="208">
        <v>31651.1</v>
      </c>
      <c r="Y20" s="208">
        <v>175031.53</v>
      </c>
      <c r="Z20" s="209">
        <v>87279</v>
      </c>
      <c r="AA20" s="163">
        <v>207586</v>
      </c>
      <c r="AB20" s="208">
        <v>1236.017358092256</v>
      </c>
      <c r="AC20" s="208">
        <v>192.97391918122463</v>
      </c>
      <c r="AD20" s="208">
        <v>221.78135403799777</v>
      </c>
      <c r="AE20" s="208">
        <v>94.531660632908924</v>
      </c>
      <c r="AF20" s="208">
        <v>89.181559908240686</v>
      </c>
      <c r="AG20" s="208">
        <v>31.416634315628496</v>
      </c>
      <c r="AH20" s="163">
        <v>1865.9024861682562</v>
      </c>
      <c r="AI20" s="208">
        <v>1241.6528830429852</v>
      </c>
      <c r="AJ20" s="208">
        <v>196.74039823522583</v>
      </c>
      <c r="AK20" s="208">
        <v>179.25783699059562</v>
      </c>
      <c r="AL20" s="208">
        <v>97.301090453116899</v>
      </c>
      <c r="AM20" s="208">
        <v>46.597567630326253</v>
      </c>
      <c r="AN20" s="208">
        <v>63.741269011958664</v>
      </c>
      <c r="AO20" s="163">
        <v>1825.2910453642082</v>
      </c>
      <c r="AP20" s="159">
        <v>1238.8351205676206</v>
      </c>
      <c r="AQ20" s="160">
        <v>194.85715870822523</v>
      </c>
      <c r="AR20" s="161">
        <v>200.5195955142967</v>
      </c>
      <c r="AS20" s="161">
        <v>95.916375543012919</v>
      </c>
      <c r="AT20" s="160">
        <v>67.88956376928347</v>
      </c>
      <c r="AU20" s="162">
        <v>47.578951663793582</v>
      </c>
      <c r="AV20" s="163">
        <v>1845.5967657662325</v>
      </c>
      <c r="AW20" s="164">
        <v>2298.3786631301355</v>
      </c>
      <c r="AX20" s="165">
        <v>0.94499999999999995</v>
      </c>
      <c r="AY20" s="166">
        <v>0</v>
      </c>
      <c r="AZ20" s="164">
        <v>1373.9</v>
      </c>
      <c r="BA20" s="160">
        <v>11606.50554833541</v>
      </c>
      <c r="BB20" s="160">
        <v>7150</v>
      </c>
      <c r="BC20" s="162">
        <v>210</v>
      </c>
      <c r="BD20" s="167"/>
    </row>
    <row r="21" spans="1:56" x14ac:dyDescent="0.2">
      <c r="A21" s="168">
        <v>17</v>
      </c>
      <c r="B21" s="169" t="s">
        <v>46</v>
      </c>
      <c r="C21" s="170">
        <v>0</v>
      </c>
      <c r="D21" s="104">
        <v>0</v>
      </c>
      <c r="E21" s="104">
        <v>0</v>
      </c>
      <c r="F21" s="104">
        <v>106300</v>
      </c>
      <c r="I21" s="104">
        <v>0</v>
      </c>
      <c r="J21" s="104">
        <v>0</v>
      </c>
      <c r="K21" s="171">
        <v>0</v>
      </c>
      <c r="L21" s="172">
        <v>0.95</v>
      </c>
      <c r="M21" s="173">
        <v>0.95</v>
      </c>
      <c r="N21" s="104">
        <v>7083</v>
      </c>
      <c r="O21" s="104">
        <v>7097</v>
      </c>
      <c r="P21" s="104">
        <v>304</v>
      </c>
      <c r="Q21" s="174">
        <v>1063.1669999999999</v>
      </c>
      <c r="R21" s="175">
        <v>770</v>
      </c>
      <c r="S21" s="176">
        <v>11</v>
      </c>
      <c r="T21" s="182">
        <v>67618.5</v>
      </c>
      <c r="U21" s="207">
        <v>20400</v>
      </c>
      <c r="V21" s="210">
        <v>0</v>
      </c>
      <c r="W21" s="182">
        <v>820111.28</v>
      </c>
      <c r="X21" s="207">
        <v>12003.15</v>
      </c>
      <c r="Y21" s="207">
        <v>218864.9</v>
      </c>
      <c r="Z21" s="210">
        <v>235204.7</v>
      </c>
      <c r="AA21" s="181">
        <v>295810.05</v>
      </c>
      <c r="AB21" s="207">
        <v>1800.0603215145823</v>
      </c>
      <c r="AC21" s="207">
        <v>256.67696832792132</v>
      </c>
      <c r="AD21" s="207">
        <v>343.32073038731238</v>
      </c>
      <c r="AE21" s="207">
        <v>98.088447818538143</v>
      </c>
      <c r="AF21" s="207">
        <v>44.737634712221755</v>
      </c>
      <c r="AG21" s="207">
        <v>41.793354981410886</v>
      </c>
      <c r="AH21" s="181">
        <v>2584.6774577419869</v>
      </c>
      <c r="AI21" s="207">
        <v>1896.6920588576834</v>
      </c>
      <c r="AJ21" s="207">
        <v>249.21221173265707</v>
      </c>
      <c r="AK21" s="207">
        <v>354.08660936545954</v>
      </c>
      <c r="AL21" s="207">
        <v>69.172906628272131</v>
      </c>
      <c r="AM21" s="207">
        <v>56.734770560330659</v>
      </c>
      <c r="AN21" s="207">
        <v>74.397383871119246</v>
      </c>
      <c r="AO21" s="181">
        <v>2700.2959410155217</v>
      </c>
      <c r="AP21" s="177">
        <v>1848.3761901861328</v>
      </c>
      <c r="AQ21" s="178">
        <v>252.94459003028919</v>
      </c>
      <c r="AR21" s="179">
        <v>348.70366987638596</v>
      </c>
      <c r="AS21" s="179">
        <v>83.630677223405144</v>
      </c>
      <c r="AT21" s="178">
        <v>50.736202636276204</v>
      </c>
      <c r="AU21" s="180">
        <v>58.095369426265066</v>
      </c>
      <c r="AV21" s="181">
        <v>2642.4866993787546</v>
      </c>
      <c r="AW21" s="182">
        <v>2298.3786631301355</v>
      </c>
      <c r="AX21" s="183">
        <v>0.94499999999999995</v>
      </c>
      <c r="AY21" s="184">
        <v>-0.43326503715153292</v>
      </c>
      <c r="AZ21" s="182">
        <v>1373.9</v>
      </c>
      <c r="BA21" s="178">
        <v>11606.50554833541</v>
      </c>
      <c r="BB21" s="178">
        <v>7150</v>
      </c>
      <c r="BC21" s="180">
        <v>210</v>
      </c>
      <c r="BD21" s="185"/>
    </row>
    <row r="22" spans="1:56" x14ac:dyDescent="0.2">
      <c r="A22" s="148">
        <v>18</v>
      </c>
      <c r="B22" s="149" t="s">
        <v>47</v>
      </c>
      <c r="C22" s="150">
        <v>0</v>
      </c>
      <c r="D22" s="151">
        <v>0</v>
      </c>
      <c r="E22" s="151">
        <v>0</v>
      </c>
      <c r="F22" s="151">
        <v>300</v>
      </c>
      <c r="G22" s="152"/>
      <c r="H22" s="152"/>
      <c r="I22" s="151">
        <v>0</v>
      </c>
      <c r="J22" s="151">
        <v>0</v>
      </c>
      <c r="K22" s="153">
        <v>0</v>
      </c>
      <c r="L22" s="154">
        <v>1.02</v>
      </c>
      <c r="M22" s="155">
        <v>0.97</v>
      </c>
      <c r="N22" s="151">
        <v>3686</v>
      </c>
      <c r="O22" s="151">
        <v>3763</v>
      </c>
      <c r="P22" s="151">
        <v>169</v>
      </c>
      <c r="Q22" s="156">
        <v>834.92039999999997</v>
      </c>
      <c r="R22" s="157">
        <v>407</v>
      </c>
      <c r="S22" s="158">
        <v>5</v>
      </c>
      <c r="T22" s="164">
        <v>0</v>
      </c>
      <c r="U22" s="208">
        <v>1500</v>
      </c>
      <c r="V22" s="209">
        <v>0</v>
      </c>
      <c r="W22" s="164">
        <v>206698.5</v>
      </c>
      <c r="X22" s="208">
        <v>28859</v>
      </c>
      <c r="Y22" s="208">
        <v>36742</v>
      </c>
      <c r="Z22" s="209">
        <v>3977</v>
      </c>
      <c r="AA22" s="163">
        <v>114172.29999999999</v>
      </c>
      <c r="AB22" s="208">
        <v>2069.982195906206</v>
      </c>
      <c r="AC22" s="208">
        <v>107.52148670645686</v>
      </c>
      <c r="AD22" s="208">
        <v>212.90696328449988</v>
      </c>
      <c r="AE22" s="208">
        <v>98.867302256875035</v>
      </c>
      <c r="AF22" s="208">
        <v>66.020799421233491</v>
      </c>
      <c r="AG22" s="208">
        <v>51.981732682221015</v>
      </c>
      <c r="AH22" s="163">
        <v>2607.2804802574919</v>
      </c>
      <c r="AI22" s="208">
        <v>2008.165744682681</v>
      </c>
      <c r="AJ22" s="208">
        <v>118.85492957746482</v>
      </c>
      <c r="AK22" s="208">
        <v>262.18181415537248</v>
      </c>
      <c r="AL22" s="208">
        <v>97.784633625763774</v>
      </c>
      <c r="AM22" s="208">
        <v>105.80093896713615</v>
      </c>
      <c r="AN22" s="208">
        <v>53.71250775090796</v>
      </c>
      <c r="AO22" s="163">
        <v>2646.5005687593266</v>
      </c>
      <c r="AP22" s="159">
        <v>2039.0739702944434</v>
      </c>
      <c r="AQ22" s="160">
        <v>113.18820814196084</v>
      </c>
      <c r="AR22" s="161">
        <v>237.54438871993619</v>
      </c>
      <c r="AS22" s="161">
        <v>98.325967941319405</v>
      </c>
      <c r="AT22" s="160">
        <v>85.910869194184812</v>
      </c>
      <c r="AU22" s="162">
        <v>52.847120216564491</v>
      </c>
      <c r="AV22" s="163">
        <v>2626.8905245084093</v>
      </c>
      <c r="AW22" s="164">
        <v>2298.3786631301355</v>
      </c>
      <c r="AX22" s="165">
        <v>0.94499999999999995</v>
      </c>
      <c r="AY22" s="166">
        <v>-0.41890370582137554</v>
      </c>
      <c r="AZ22" s="164">
        <v>1373.9</v>
      </c>
      <c r="BA22" s="160">
        <v>11606.50554833541</v>
      </c>
      <c r="BB22" s="160">
        <v>7150</v>
      </c>
      <c r="BC22" s="162">
        <v>210</v>
      </c>
      <c r="BD22" s="167"/>
    </row>
    <row r="23" spans="1:56" x14ac:dyDescent="0.2">
      <c r="A23" s="168">
        <v>19</v>
      </c>
      <c r="B23" s="169" t="s">
        <v>48</v>
      </c>
      <c r="C23" s="170">
        <v>0</v>
      </c>
      <c r="D23" s="104">
        <v>0</v>
      </c>
      <c r="E23" s="104">
        <v>0</v>
      </c>
      <c r="F23" s="104">
        <v>1600</v>
      </c>
      <c r="I23" s="104">
        <v>0</v>
      </c>
      <c r="J23" s="104">
        <v>0</v>
      </c>
      <c r="K23" s="171">
        <v>0</v>
      </c>
      <c r="L23" s="172">
        <v>0.9</v>
      </c>
      <c r="M23" s="173">
        <v>0.85</v>
      </c>
      <c r="N23" s="104">
        <v>4494</v>
      </c>
      <c r="O23" s="104">
        <v>4530</v>
      </c>
      <c r="P23" s="104">
        <v>210</v>
      </c>
      <c r="Q23" s="174">
        <v>786.13099999999997</v>
      </c>
      <c r="R23" s="175">
        <v>516</v>
      </c>
      <c r="S23" s="176">
        <v>10</v>
      </c>
      <c r="T23" s="182">
        <v>20018.7</v>
      </c>
      <c r="U23" s="207">
        <v>8790</v>
      </c>
      <c r="V23" s="210">
        <v>24808</v>
      </c>
      <c r="W23" s="182">
        <v>319247.78999999998</v>
      </c>
      <c r="X23" s="207">
        <v>360</v>
      </c>
      <c r="Y23" s="207">
        <v>12422</v>
      </c>
      <c r="Z23" s="210">
        <v>5807</v>
      </c>
      <c r="AA23" s="181">
        <v>145310.20000000001</v>
      </c>
      <c r="AB23" s="207">
        <v>2205.2599027834576</v>
      </c>
      <c r="AC23" s="207">
        <v>371.94092122830443</v>
      </c>
      <c r="AD23" s="207">
        <v>617.84959204865754</v>
      </c>
      <c r="AE23" s="207">
        <v>108.6781006675966</v>
      </c>
      <c r="AF23" s="207">
        <v>99.531523512831924</v>
      </c>
      <c r="AG23" s="207">
        <v>69.721102210354559</v>
      </c>
      <c r="AH23" s="181">
        <v>3472.9811424512027</v>
      </c>
      <c r="AI23" s="207">
        <v>2197.815305907056</v>
      </c>
      <c r="AJ23" s="207">
        <v>356.76371596762317</v>
      </c>
      <c r="AK23" s="207">
        <v>575.96758646063279</v>
      </c>
      <c r="AL23" s="207">
        <v>112.50586390976434</v>
      </c>
      <c r="AM23" s="207">
        <v>62.743929359823397</v>
      </c>
      <c r="AN23" s="207">
        <v>41.840765268579837</v>
      </c>
      <c r="AO23" s="181">
        <v>3347.6371668734796</v>
      </c>
      <c r="AP23" s="177">
        <v>2201.537604345257</v>
      </c>
      <c r="AQ23" s="178">
        <v>364.3523185979638</v>
      </c>
      <c r="AR23" s="179">
        <v>596.90858925464522</v>
      </c>
      <c r="AS23" s="179">
        <v>110.59198228868047</v>
      </c>
      <c r="AT23" s="178">
        <v>81.137726436327654</v>
      </c>
      <c r="AU23" s="180">
        <v>55.780933739467201</v>
      </c>
      <c r="AV23" s="181">
        <v>3410.3091546623418</v>
      </c>
      <c r="AW23" s="182">
        <v>2298.3786631301355</v>
      </c>
      <c r="AX23" s="183">
        <v>0.94499999999999995</v>
      </c>
      <c r="AY23" s="184">
        <v>-1</v>
      </c>
      <c r="AZ23" s="182">
        <v>1373.9</v>
      </c>
      <c r="BA23" s="178">
        <v>11606.50554833541</v>
      </c>
      <c r="BB23" s="178">
        <v>7150</v>
      </c>
      <c r="BC23" s="180">
        <v>210</v>
      </c>
      <c r="BD23" s="185"/>
    </row>
    <row r="24" spans="1:56" x14ac:dyDescent="0.2">
      <c r="A24" s="148">
        <v>20</v>
      </c>
      <c r="B24" s="149" t="s">
        <v>49</v>
      </c>
      <c r="C24" s="150">
        <v>0</v>
      </c>
      <c r="D24" s="151">
        <v>0</v>
      </c>
      <c r="E24" s="151">
        <v>1370100</v>
      </c>
      <c r="F24" s="151">
        <v>0</v>
      </c>
      <c r="G24" s="152"/>
      <c r="H24" s="152"/>
      <c r="I24" s="151">
        <v>0</v>
      </c>
      <c r="J24" s="151">
        <v>0</v>
      </c>
      <c r="K24" s="153">
        <v>0</v>
      </c>
      <c r="L24" s="154">
        <v>1</v>
      </c>
      <c r="M24" s="155">
        <v>1</v>
      </c>
      <c r="N24" s="151">
        <v>5853</v>
      </c>
      <c r="O24" s="151">
        <v>5957</v>
      </c>
      <c r="P24" s="151">
        <v>166</v>
      </c>
      <c r="Q24" s="156">
        <v>1159.8340000000001</v>
      </c>
      <c r="R24" s="157">
        <v>837</v>
      </c>
      <c r="S24" s="158">
        <v>9</v>
      </c>
      <c r="T24" s="164">
        <v>96420.25</v>
      </c>
      <c r="U24" s="208">
        <v>23895.75</v>
      </c>
      <c r="V24" s="209">
        <v>24735.3</v>
      </c>
      <c r="W24" s="164">
        <v>181962.16</v>
      </c>
      <c r="X24" s="208">
        <v>4304.2</v>
      </c>
      <c r="Y24" s="208">
        <v>23941.26</v>
      </c>
      <c r="Z24" s="209">
        <v>10577.6</v>
      </c>
      <c r="AA24" s="163">
        <v>197206.69999999998</v>
      </c>
      <c r="AB24" s="208">
        <v>1769.4085699458756</v>
      </c>
      <c r="AC24" s="208">
        <v>220.2495814112421</v>
      </c>
      <c r="AD24" s="208">
        <v>213.32657326727036</v>
      </c>
      <c r="AE24" s="208">
        <v>95.076056890993257</v>
      </c>
      <c r="AF24" s="208">
        <v>48.917814226322683</v>
      </c>
      <c r="AG24" s="208">
        <v>62.945321487556249</v>
      </c>
      <c r="AH24" s="163">
        <v>2409.92391722926</v>
      </c>
      <c r="AI24" s="208">
        <v>1817.7506392304563</v>
      </c>
      <c r="AJ24" s="208">
        <v>231.34571092831965</v>
      </c>
      <c r="AK24" s="208">
        <v>156.1665491578535</v>
      </c>
      <c r="AL24" s="208">
        <v>98.318595507992612</v>
      </c>
      <c r="AM24" s="208">
        <v>51.599669856191596</v>
      </c>
      <c r="AN24" s="208">
        <v>41.597448380057074</v>
      </c>
      <c r="AO24" s="163">
        <v>2396.7786130608702</v>
      </c>
      <c r="AP24" s="159">
        <v>1793.5796045881659</v>
      </c>
      <c r="AQ24" s="160">
        <v>225.79764616978088</v>
      </c>
      <c r="AR24" s="161">
        <v>184.74656121256191</v>
      </c>
      <c r="AS24" s="161">
        <v>96.697326199492935</v>
      </c>
      <c r="AT24" s="160">
        <v>50.258742041257136</v>
      </c>
      <c r="AU24" s="162">
        <v>52.271384933806658</v>
      </c>
      <c r="AV24" s="163">
        <v>2403.3512651450651</v>
      </c>
      <c r="AW24" s="164">
        <v>2298.3786631301355</v>
      </c>
      <c r="AX24" s="165">
        <v>0.94499999999999995</v>
      </c>
      <c r="AY24" s="166">
        <v>-0.2130634023044452</v>
      </c>
      <c r="AZ24" s="164">
        <v>1373.9</v>
      </c>
      <c r="BA24" s="160">
        <v>11606.50554833541</v>
      </c>
      <c r="BB24" s="160">
        <v>7150</v>
      </c>
      <c r="BC24" s="162">
        <v>210</v>
      </c>
      <c r="BD24" s="167"/>
    </row>
    <row r="25" spans="1:56" x14ac:dyDescent="0.2">
      <c r="A25" s="168">
        <v>21</v>
      </c>
      <c r="B25" s="169" t="s">
        <v>50</v>
      </c>
      <c r="C25" s="170">
        <v>0</v>
      </c>
      <c r="D25" s="104">
        <v>0</v>
      </c>
      <c r="E25" s="104">
        <v>1167200</v>
      </c>
      <c r="F25" s="104">
        <v>372500</v>
      </c>
      <c r="I25" s="104">
        <v>0</v>
      </c>
      <c r="J25" s="104">
        <v>0</v>
      </c>
      <c r="K25" s="171">
        <v>0</v>
      </c>
      <c r="L25" s="172">
        <v>1.0900000000000001</v>
      </c>
      <c r="M25" s="173">
        <v>1.0900000000000001</v>
      </c>
      <c r="N25" s="104">
        <v>8847</v>
      </c>
      <c r="O25" s="104">
        <v>8864</v>
      </c>
      <c r="P25" s="104">
        <v>298</v>
      </c>
      <c r="Q25" s="174">
        <v>1301.8559999999998</v>
      </c>
      <c r="R25" s="175">
        <v>1136</v>
      </c>
      <c r="S25" s="176">
        <v>18</v>
      </c>
      <c r="T25" s="182">
        <v>46330.75</v>
      </c>
      <c r="U25" s="207">
        <v>19492.2</v>
      </c>
      <c r="V25" s="210">
        <v>1286.5</v>
      </c>
      <c r="W25" s="182">
        <v>1989725.0000000002</v>
      </c>
      <c r="X25" s="207">
        <v>572.9</v>
      </c>
      <c r="Y25" s="207">
        <v>69532.98</v>
      </c>
      <c r="Z25" s="210">
        <v>128357.6</v>
      </c>
      <c r="AA25" s="181">
        <v>290620.40000000002</v>
      </c>
      <c r="AB25" s="207">
        <v>1694.4574820025628</v>
      </c>
      <c r="AC25" s="207">
        <v>145.55960966052524</v>
      </c>
      <c r="AD25" s="207">
        <v>237.61389171470557</v>
      </c>
      <c r="AE25" s="207">
        <v>105.85943427682602</v>
      </c>
      <c r="AF25" s="207">
        <v>62.251271617497459</v>
      </c>
      <c r="AG25" s="207">
        <v>45.092129158660192</v>
      </c>
      <c r="AH25" s="181">
        <v>2290.8338184307772</v>
      </c>
      <c r="AI25" s="207">
        <v>1639.4309904492141</v>
      </c>
      <c r="AJ25" s="207">
        <v>149.36432385679907</v>
      </c>
      <c r="AK25" s="207">
        <v>261.3548736462094</v>
      </c>
      <c r="AL25" s="207">
        <v>110.16217194406288</v>
      </c>
      <c r="AM25" s="207">
        <v>70.264624699157636</v>
      </c>
      <c r="AN25" s="207">
        <v>74.546980294825516</v>
      </c>
      <c r="AO25" s="181">
        <v>2305.1239648902683</v>
      </c>
      <c r="AP25" s="177">
        <v>1666.9442362258883</v>
      </c>
      <c r="AQ25" s="178">
        <v>147.46196675866216</v>
      </c>
      <c r="AR25" s="179">
        <v>249.48438268045749</v>
      </c>
      <c r="AS25" s="179">
        <v>108.01080311044444</v>
      </c>
      <c r="AT25" s="178">
        <v>66.257948158327551</v>
      </c>
      <c r="AU25" s="180">
        <v>59.819554726742851</v>
      </c>
      <c r="AV25" s="181">
        <v>2297.978891660523</v>
      </c>
      <c r="AW25" s="182">
        <v>2298.3786631301355</v>
      </c>
      <c r="AX25" s="183">
        <v>0.94499999999999995</v>
      </c>
      <c r="AY25" s="184">
        <v>-0.11603399725885366</v>
      </c>
      <c r="AZ25" s="182">
        <v>1373.9</v>
      </c>
      <c r="BA25" s="178">
        <v>11606.50554833541</v>
      </c>
      <c r="BB25" s="178">
        <v>7150</v>
      </c>
      <c r="BC25" s="180">
        <v>210</v>
      </c>
      <c r="BD25" s="185"/>
    </row>
    <row r="26" spans="1:56" x14ac:dyDescent="0.2">
      <c r="A26" s="148">
        <v>22</v>
      </c>
      <c r="B26" s="149" t="s">
        <v>51</v>
      </c>
      <c r="C26" s="150">
        <v>1183800</v>
      </c>
      <c r="D26" s="151">
        <v>0</v>
      </c>
      <c r="E26" s="151">
        <v>244900</v>
      </c>
      <c r="F26" s="151">
        <v>0</v>
      </c>
      <c r="G26" s="152"/>
      <c r="H26" s="152"/>
      <c r="I26" s="151">
        <v>0</v>
      </c>
      <c r="J26" s="151">
        <v>0</v>
      </c>
      <c r="K26" s="153">
        <v>0</v>
      </c>
      <c r="L26" s="154">
        <v>1.19</v>
      </c>
      <c r="M26" s="155">
        <v>1.19</v>
      </c>
      <c r="N26" s="151">
        <v>4337</v>
      </c>
      <c r="O26" s="151">
        <v>4390</v>
      </c>
      <c r="P26" s="151">
        <v>193</v>
      </c>
      <c r="Q26" s="156">
        <v>754.32600000000002</v>
      </c>
      <c r="R26" s="157">
        <v>527</v>
      </c>
      <c r="S26" s="158">
        <v>13</v>
      </c>
      <c r="T26" s="164">
        <v>122343.5</v>
      </c>
      <c r="U26" s="208">
        <v>0</v>
      </c>
      <c r="V26" s="209">
        <v>0</v>
      </c>
      <c r="W26" s="164">
        <v>481969.85</v>
      </c>
      <c r="X26" s="208">
        <v>10109.450000000001</v>
      </c>
      <c r="Y26" s="208">
        <v>73003.86</v>
      </c>
      <c r="Z26" s="209">
        <v>0</v>
      </c>
      <c r="AA26" s="163">
        <v>108982.65</v>
      </c>
      <c r="AB26" s="208">
        <v>1497.7763641723532</v>
      </c>
      <c r="AC26" s="208">
        <v>94.366858811774648</v>
      </c>
      <c r="AD26" s="208">
        <v>143.7992852201983</v>
      </c>
      <c r="AE26" s="208">
        <v>78.218901950691503</v>
      </c>
      <c r="AF26" s="208">
        <v>66.398432095918835</v>
      </c>
      <c r="AG26" s="208">
        <v>41.070363538544306</v>
      </c>
      <c r="AH26" s="163">
        <v>1921.6302057894809</v>
      </c>
      <c r="AI26" s="208">
        <v>1551.6788043802185</v>
      </c>
      <c r="AJ26" s="208">
        <v>98.566909643128326</v>
      </c>
      <c r="AK26" s="208">
        <v>147.20775246772968</v>
      </c>
      <c r="AL26" s="208">
        <v>81.953268182297037</v>
      </c>
      <c r="AM26" s="208">
        <v>65.729665907365231</v>
      </c>
      <c r="AN26" s="208">
        <v>37.896264236902049</v>
      </c>
      <c r="AO26" s="163">
        <v>1983.0326648176408</v>
      </c>
      <c r="AP26" s="159">
        <v>1524.7275842762858</v>
      </c>
      <c r="AQ26" s="160">
        <v>96.466884227451487</v>
      </c>
      <c r="AR26" s="161">
        <v>145.503518843964</v>
      </c>
      <c r="AS26" s="161">
        <v>80.086085066494263</v>
      </c>
      <c r="AT26" s="160">
        <v>66.064049001642033</v>
      </c>
      <c r="AU26" s="162">
        <v>39.483313887723178</v>
      </c>
      <c r="AV26" s="163">
        <v>1952.3314353035607</v>
      </c>
      <c r="AW26" s="164">
        <v>2298.3786631301355</v>
      </c>
      <c r="AX26" s="165">
        <v>0.94499999999999995</v>
      </c>
      <c r="AY26" s="166">
        <v>0</v>
      </c>
      <c r="AZ26" s="164">
        <v>1373.9</v>
      </c>
      <c r="BA26" s="160">
        <v>11606.50554833541</v>
      </c>
      <c r="BB26" s="160">
        <v>7150</v>
      </c>
      <c r="BC26" s="162">
        <v>210</v>
      </c>
      <c r="BD26" s="167"/>
    </row>
    <row r="27" spans="1:56" x14ac:dyDescent="0.2">
      <c r="A27" s="168">
        <v>23</v>
      </c>
      <c r="B27" s="169" t="s">
        <v>52</v>
      </c>
      <c r="C27" s="170">
        <v>1134900</v>
      </c>
      <c r="D27" s="104">
        <v>220800</v>
      </c>
      <c r="E27" s="104">
        <v>787100</v>
      </c>
      <c r="F27" s="104">
        <v>0</v>
      </c>
      <c r="I27" s="104">
        <v>0</v>
      </c>
      <c r="J27" s="104">
        <v>0</v>
      </c>
      <c r="K27" s="171">
        <v>0</v>
      </c>
      <c r="L27" s="172">
        <v>1.4</v>
      </c>
      <c r="M27" s="173">
        <v>1.4</v>
      </c>
      <c r="N27" s="104">
        <v>2057</v>
      </c>
      <c r="O27" s="104">
        <v>2074</v>
      </c>
      <c r="P27" s="104">
        <v>62</v>
      </c>
      <c r="Q27" s="174">
        <v>686.45500000000004</v>
      </c>
      <c r="R27" s="175">
        <v>307</v>
      </c>
      <c r="S27" s="176">
        <v>1</v>
      </c>
      <c r="T27" s="182">
        <v>17256</v>
      </c>
      <c r="U27" s="207">
        <v>0</v>
      </c>
      <c r="V27" s="210">
        <v>0</v>
      </c>
      <c r="W27" s="182">
        <v>235356.75</v>
      </c>
      <c r="X27" s="207">
        <v>0</v>
      </c>
      <c r="Y27" s="207">
        <v>35984.6</v>
      </c>
      <c r="Z27" s="210">
        <v>11355.6</v>
      </c>
      <c r="AA27" s="181">
        <v>46706.850000000006</v>
      </c>
      <c r="AB27" s="207">
        <v>1457.0986486030765</v>
      </c>
      <c r="AC27" s="207">
        <v>50.377507697293794</v>
      </c>
      <c r="AD27" s="207">
        <v>70.88945065629558</v>
      </c>
      <c r="AE27" s="207">
        <v>82.996728460186816</v>
      </c>
      <c r="AF27" s="207">
        <v>67.920709771511909</v>
      </c>
      <c r="AG27" s="207">
        <v>70.11403338194782</v>
      </c>
      <c r="AH27" s="181">
        <v>1799.3970785703125</v>
      </c>
      <c r="AI27" s="207">
        <v>1503.154034882288</v>
      </c>
      <c r="AJ27" s="207">
        <v>57.976454516232728</v>
      </c>
      <c r="AK27" s="207">
        <v>62.845885567341696</v>
      </c>
      <c r="AL27" s="207">
        <v>86.001511155192375</v>
      </c>
      <c r="AM27" s="207">
        <v>34.018000642880104</v>
      </c>
      <c r="AN27" s="207">
        <v>21.82974927675988</v>
      </c>
      <c r="AO27" s="181">
        <v>1765.8256360406947</v>
      </c>
      <c r="AP27" s="177">
        <v>1480.1263417426821</v>
      </c>
      <c r="AQ27" s="178">
        <v>54.176981106763265</v>
      </c>
      <c r="AR27" s="179">
        <v>66.867668111818631</v>
      </c>
      <c r="AS27" s="179">
        <v>84.499119807689596</v>
      </c>
      <c r="AT27" s="178">
        <v>50.969355207196003</v>
      </c>
      <c r="AU27" s="180">
        <v>45.971891329353852</v>
      </c>
      <c r="AV27" s="181">
        <v>1782.6113573055036</v>
      </c>
      <c r="AW27" s="182">
        <v>2298.3786631301355</v>
      </c>
      <c r="AX27" s="183">
        <v>0.94499999999999995</v>
      </c>
      <c r="AY27" s="184">
        <v>0</v>
      </c>
      <c r="AZ27" s="182">
        <v>1373.9</v>
      </c>
      <c r="BA27" s="178">
        <v>11606.50554833541</v>
      </c>
      <c r="BB27" s="178">
        <v>7150</v>
      </c>
      <c r="BC27" s="180">
        <v>210</v>
      </c>
      <c r="BD27" s="185"/>
    </row>
    <row r="28" spans="1:56" x14ac:dyDescent="0.2">
      <c r="A28" s="148">
        <v>24</v>
      </c>
      <c r="B28" s="149" t="s">
        <v>53</v>
      </c>
      <c r="C28" s="150">
        <v>958800</v>
      </c>
      <c r="D28" s="151">
        <v>1639200</v>
      </c>
      <c r="E28" s="151">
        <v>1607100</v>
      </c>
      <c r="F28" s="151">
        <v>263600</v>
      </c>
      <c r="G28" s="152"/>
      <c r="H28" s="152"/>
      <c r="I28" s="151">
        <v>0</v>
      </c>
      <c r="J28" s="151">
        <v>0</v>
      </c>
      <c r="K28" s="153">
        <v>0</v>
      </c>
      <c r="L28" s="154">
        <v>1.53</v>
      </c>
      <c r="M28" s="155">
        <v>1.53</v>
      </c>
      <c r="N28" s="151">
        <v>10985</v>
      </c>
      <c r="O28" s="151">
        <v>11075</v>
      </c>
      <c r="P28" s="151">
        <v>522</v>
      </c>
      <c r="Q28" s="156">
        <v>4000.6239999999998</v>
      </c>
      <c r="R28" s="157">
        <v>1414</v>
      </c>
      <c r="S28" s="158">
        <v>34</v>
      </c>
      <c r="T28" s="164">
        <v>385292.4</v>
      </c>
      <c r="U28" s="208">
        <v>30130.799999999999</v>
      </c>
      <c r="V28" s="209">
        <v>10359.549999999999</v>
      </c>
      <c r="W28" s="164">
        <v>1696007.76</v>
      </c>
      <c r="X28" s="208">
        <v>23858.12</v>
      </c>
      <c r="Y28" s="208">
        <v>177390.99</v>
      </c>
      <c r="Z28" s="209">
        <v>215001.75</v>
      </c>
      <c r="AA28" s="163">
        <v>461878.8</v>
      </c>
      <c r="AB28" s="208">
        <v>1517.9238554232249</v>
      </c>
      <c r="AC28" s="208">
        <v>114.99650735851921</v>
      </c>
      <c r="AD28" s="208">
        <v>205.73440145653163</v>
      </c>
      <c r="AE28" s="208">
        <v>90.18747034548916</v>
      </c>
      <c r="AF28" s="208">
        <v>69.27267789409801</v>
      </c>
      <c r="AG28" s="208">
        <v>46.073472917614936</v>
      </c>
      <c r="AH28" s="163">
        <v>2044.188385395478</v>
      </c>
      <c r="AI28" s="208">
        <v>1600.9405650034403</v>
      </c>
      <c r="AJ28" s="208">
        <v>122.64685628291949</v>
      </c>
      <c r="AK28" s="208">
        <v>214.27736945071482</v>
      </c>
      <c r="AL28" s="208">
        <v>92.421619646709772</v>
      </c>
      <c r="AM28" s="208">
        <v>61.331590669676451</v>
      </c>
      <c r="AN28" s="208">
        <v>93.647181339352898</v>
      </c>
      <c r="AO28" s="163">
        <v>2185.2651823928136</v>
      </c>
      <c r="AP28" s="159">
        <v>1559.4322102133326</v>
      </c>
      <c r="AQ28" s="160">
        <v>118.82168182071935</v>
      </c>
      <c r="AR28" s="161">
        <v>210.00588545362322</v>
      </c>
      <c r="AS28" s="161">
        <v>91.304544996099466</v>
      </c>
      <c r="AT28" s="160">
        <v>65.302134281887234</v>
      </c>
      <c r="AU28" s="162">
        <v>69.860327128483917</v>
      </c>
      <c r="AV28" s="163">
        <v>2114.7267838941457</v>
      </c>
      <c r="AW28" s="164">
        <v>2298.3786631301355</v>
      </c>
      <c r="AX28" s="165">
        <v>0.94499999999999995</v>
      </c>
      <c r="AY28" s="166">
        <v>0</v>
      </c>
      <c r="AZ28" s="164">
        <v>1373.9</v>
      </c>
      <c r="BA28" s="160">
        <v>11606.50554833541</v>
      </c>
      <c r="BB28" s="160">
        <v>7150</v>
      </c>
      <c r="BC28" s="162">
        <v>210</v>
      </c>
      <c r="BD28" s="167"/>
    </row>
    <row r="29" spans="1:56" x14ac:dyDescent="0.2">
      <c r="A29" s="168">
        <v>25</v>
      </c>
      <c r="B29" s="169" t="s">
        <v>54</v>
      </c>
      <c r="C29" s="170">
        <v>1340300</v>
      </c>
      <c r="D29" s="104">
        <v>292800</v>
      </c>
      <c r="E29" s="104">
        <v>331300</v>
      </c>
      <c r="F29" s="104">
        <v>0</v>
      </c>
      <c r="I29" s="104">
        <v>0</v>
      </c>
      <c r="J29" s="104">
        <v>0</v>
      </c>
      <c r="K29" s="171">
        <v>0</v>
      </c>
      <c r="L29" s="172">
        <v>1.5</v>
      </c>
      <c r="M29" s="173">
        <v>1.46</v>
      </c>
      <c r="N29" s="104">
        <v>1481</v>
      </c>
      <c r="O29" s="104">
        <v>1508</v>
      </c>
      <c r="P29" s="104">
        <v>42</v>
      </c>
      <c r="Q29" s="174">
        <v>595.40399999999988</v>
      </c>
      <c r="R29" s="175">
        <v>202</v>
      </c>
      <c r="S29" s="176">
        <v>5</v>
      </c>
      <c r="T29" s="182">
        <v>0</v>
      </c>
      <c r="U29" s="207">
        <v>0</v>
      </c>
      <c r="V29" s="210">
        <v>9809</v>
      </c>
      <c r="W29" s="182">
        <v>57456.599999999991</v>
      </c>
      <c r="X29" s="207">
        <v>1568</v>
      </c>
      <c r="Y29" s="207">
        <v>11225</v>
      </c>
      <c r="Z29" s="210">
        <v>574</v>
      </c>
      <c r="AA29" s="181">
        <v>25948.25</v>
      </c>
      <c r="AB29" s="207">
        <v>1293.6823224995819</v>
      </c>
      <c r="AC29" s="207">
        <v>61.467229349538606</v>
      </c>
      <c r="AD29" s="207">
        <v>23.199077200090031</v>
      </c>
      <c r="AE29" s="207">
        <v>80.324079873329254</v>
      </c>
      <c r="AF29" s="207">
        <v>30.103083502138194</v>
      </c>
      <c r="AG29" s="207">
        <v>18.138915147422914</v>
      </c>
      <c r="AH29" s="181">
        <v>1506.914707572101</v>
      </c>
      <c r="AI29" s="207">
        <v>1404.1593119237086</v>
      </c>
      <c r="AJ29" s="207">
        <v>88.897413793103453</v>
      </c>
      <c r="AK29" s="207">
        <v>10.932493368700266</v>
      </c>
      <c r="AL29" s="207">
        <v>83.83058704809325</v>
      </c>
      <c r="AM29" s="207">
        <v>21.889478337754202</v>
      </c>
      <c r="AN29" s="207">
        <v>7.1891688770999114</v>
      </c>
      <c r="AO29" s="181">
        <v>1616.8984533484597</v>
      </c>
      <c r="AP29" s="177">
        <v>1348.9208172116453</v>
      </c>
      <c r="AQ29" s="178">
        <v>75.182321571321026</v>
      </c>
      <c r="AR29" s="179">
        <v>17.065785284395147</v>
      </c>
      <c r="AS29" s="179">
        <v>82.077333460711259</v>
      </c>
      <c r="AT29" s="178">
        <v>25.996280919946198</v>
      </c>
      <c r="AU29" s="180">
        <v>12.664042012261412</v>
      </c>
      <c r="AV29" s="181">
        <v>1561.9065804602803</v>
      </c>
      <c r="AW29" s="182">
        <v>2298.3786631301355</v>
      </c>
      <c r="AX29" s="183">
        <v>0.94499999999999995</v>
      </c>
      <c r="AY29" s="184">
        <v>0</v>
      </c>
      <c r="AZ29" s="182">
        <v>1373.9</v>
      </c>
      <c r="BA29" s="178">
        <v>11606.50554833541</v>
      </c>
      <c r="BB29" s="178">
        <v>7150</v>
      </c>
      <c r="BC29" s="180">
        <v>210</v>
      </c>
      <c r="BD29" s="185"/>
    </row>
    <row r="30" spans="1:56" x14ac:dyDescent="0.2">
      <c r="A30" s="148">
        <v>26</v>
      </c>
      <c r="B30" s="149" t="s">
        <v>55</v>
      </c>
      <c r="C30" s="150">
        <v>2885900</v>
      </c>
      <c r="D30" s="151">
        <v>1666600</v>
      </c>
      <c r="E30" s="151">
        <v>1947300</v>
      </c>
      <c r="F30" s="151">
        <v>0</v>
      </c>
      <c r="G30" s="152"/>
      <c r="H30" s="152"/>
      <c r="I30" s="151">
        <v>0</v>
      </c>
      <c r="J30" s="151">
        <v>0</v>
      </c>
      <c r="K30" s="153">
        <v>0</v>
      </c>
      <c r="L30" s="154">
        <v>1.4</v>
      </c>
      <c r="M30" s="155">
        <v>1.4</v>
      </c>
      <c r="N30" s="151">
        <v>8351</v>
      </c>
      <c r="O30" s="151">
        <v>8439</v>
      </c>
      <c r="P30" s="151">
        <v>276</v>
      </c>
      <c r="Q30" s="156">
        <v>3352.2999999999997</v>
      </c>
      <c r="R30" s="157">
        <v>1141</v>
      </c>
      <c r="S30" s="158">
        <v>21</v>
      </c>
      <c r="T30" s="164">
        <v>139977.20000000001</v>
      </c>
      <c r="U30" s="208">
        <v>20457.099999999999</v>
      </c>
      <c r="V30" s="209">
        <v>81927.100000000006</v>
      </c>
      <c r="W30" s="164">
        <v>815813.17</v>
      </c>
      <c r="X30" s="208">
        <v>13455.2</v>
      </c>
      <c r="Y30" s="208">
        <v>151601.24</v>
      </c>
      <c r="Z30" s="209">
        <v>97912.35</v>
      </c>
      <c r="AA30" s="163">
        <v>181637.75</v>
      </c>
      <c r="AB30" s="208">
        <v>1564.4358191174101</v>
      </c>
      <c r="AC30" s="208">
        <v>98.505153075479981</v>
      </c>
      <c r="AD30" s="208">
        <v>139.24133636690217</v>
      </c>
      <c r="AE30" s="208">
        <v>86.611797402858073</v>
      </c>
      <c r="AF30" s="208">
        <v>39.818768211391848</v>
      </c>
      <c r="AG30" s="208">
        <v>28.165864367540809</v>
      </c>
      <c r="AH30" s="163">
        <v>1956.7787385415829</v>
      </c>
      <c r="AI30" s="208">
        <v>1519.003314074818</v>
      </c>
      <c r="AJ30" s="208">
        <v>99.487439270055688</v>
      </c>
      <c r="AK30" s="208">
        <v>120.80459770114942</v>
      </c>
      <c r="AL30" s="208">
        <v>89.813231267937994</v>
      </c>
      <c r="AM30" s="208">
        <v>35.647481929138529</v>
      </c>
      <c r="AN30" s="208">
        <v>34.638329975905513</v>
      </c>
      <c r="AO30" s="163">
        <v>1899.3943942190049</v>
      </c>
      <c r="AP30" s="159">
        <v>1541.719566596114</v>
      </c>
      <c r="AQ30" s="160">
        <v>98.996296172767842</v>
      </c>
      <c r="AR30" s="161">
        <v>130.02296703402578</v>
      </c>
      <c r="AS30" s="161">
        <v>88.212514335398026</v>
      </c>
      <c r="AT30" s="160">
        <v>37.733125070265189</v>
      </c>
      <c r="AU30" s="162">
        <v>31.402097171723163</v>
      </c>
      <c r="AV30" s="163">
        <v>1928.0865663802942</v>
      </c>
      <c r="AW30" s="164">
        <v>2298.3786631301355</v>
      </c>
      <c r="AX30" s="165">
        <v>0.94499999999999995</v>
      </c>
      <c r="AY30" s="166">
        <v>0</v>
      </c>
      <c r="AZ30" s="164">
        <v>1373.9</v>
      </c>
      <c r="BA30" s="160">
        <v>11606.50554833541</v>
      </c>
      <c r="BB30" s="160">
        <v>7150</v>
      </c>
      <c r="BC30" s="162">
        <v>210</v>
      </c>
      <c r="BD30" s="167"/>
    </row>
    <row r="31" spans="1:56" x14ac:dyDescent="0.2">
      <c r="A31" s="168">
        <v>27</v>
      </c>
      <c r="B31" s="169" t="s">
        <v>56</v>
      </c>
      <c r="C31" s="170">
        <v>998400</v>
      </c>
      <c r="D31" s="104">
        <v>462000</v>
      </c>
      <c r="E31" s="104">
        <v>0</v>
      </c>
      <c r="F31" s="104">
        <v>7700</v>
      </c>
      <c r="I31" s="104">
        <v>0</v>
      </c>
      <c r="J31" s="104">
        <v>0</v>
      </c>
      <c r="K31" s="171">
        <v>0</v>
      </c>
      <c r="L31" s="172">
        <v>1.49</v>
      </c>
      <c r="M31" s="173">
        <v>1.45</v>
      </c>
      <c r="N31" s="104">
        <v>2094</v>
      </c>
      <c r="O31" s="104">
        <v>2112</v>
      </c>
      <c r="P31" s="104">
        <v>82</v>
      </c>
      <c r="Q31" s="174">
        <v>871.6389999999999</v>
      </c>
      <c r="R31" s="175">
        <v>238</v>
      </c>
      <c r="S31" s="176">
        <v>1</v>
      </c>
      <c r="T31" s="182">
        <v>31804.15</v>
      </c>
      <c r="U31" s="207">
        <v>1661.6</v>
      </c>
      <c r="V31" s="210">
        <v>6750</v>
      </c>
      <c r="W31" s="182">
        <v>343755.15</v>
      </c>
      <c r="X31" s="207">
        <v>0</v>
      </c>
      <c r="Y31" s="207">
        <v>29489.3</v>
      </c>
      <c r="Z31" s="210">
        <v>818.4</v>
      </c>
      <c r="AA31" s="181">
        <v>62275.8</v>
      </c>
      <c r="AB31" s="207">
        <v>1348.5887165731071</v>
      </c>
      <c r="AC31" s="207">
        <v>155.87492836676216</v>
      </c>
      <c r="AD31" s="207">
        <v>138.4152021649156</v>
      </c>
      <c r="AE31" s="207">
        <v>99.733801036741909</v>
      </c>
      <c r="AF31" s="207">
        <v>47.287297039159498</v>
      </c>
      <c r="AG31" s="207">
        <v>62.741817892390962</v>
      </c>
      <c r="AH31" s="181">
        <v>1852.6417630730773</v>
      </c>
      <c r="AI31" s="207">
        <v>1418.1342340937572</v>
      </c>
      <c r="AJ31" s="207">
        <v>147.45296717171718</v>
      </c>
      <c r="AK31" s="207">
        <v>101.12146464646464</v>
      </c>
      <c r="AL31" s="207">
        <v>100.33494945325305</v>
      </c>
      <c r="AM31" s="207">
        <v>60.403377525252523</v>
      </c>
      <c r="AN31" s="207">
        <v>17.395959595959596</v>
      </c>
      <c r="AO31" s="181">
        <v>1844.8429524864041</v>
      </c>
      <c r="AP31" s="177">
        <v>1383.3614753334323</v>
      </c>
      <c r="AQ31" s="178">
        <v>151.66394776923966</v>
      </c>
      <c r="AR31" s="179">
        <v>119.76833340569013</v>
      </c>
      <c r="AS31" s="179">
        <v>100.03437524499748</v>
      </c>
      <c r="AT31" s="178">
        <v>53.84533728220601</v>
      </c>
      <c r="AU31" s="180">
        <v>40.068888744175283</v>
      </c>
      <c r="AV31" s="181">
        <v>1848.7423577797408</v>
      </c>
      <c r="AW31" s="182">
        <v>2298.3786631301355</v>
      </c>
      <c r="AX31" s="183">
        <v>0.94499999999999995</v>
      </c>
      <c r="AY31" s="184">
        <v>0</v>
      </c>
      <c r="AZ31" s="182">
        <v>1373.9</v>
      </c>
      <c r="BA31" s="178">
        <v>11606.50554833541</v>
      </c>
      <c r="BB31" s="178">
        <v>7150</v>
      </c>
      <c r="BC31" s="180">
        <v>210</v>
      </c>
      <c r="BD31" s="185"/>
    </row>
    <row r="32" spans="1:56" x14ac:dyDescent="0.2">
      <c r="A32" s="148">
        <v>28</v>
      </c>
      <c r="B32" s="149" t="s">
        <v>57</v>
      </c>
      <c r="C32" s="150">
        <v>0</v>
      </c>
      <c r="D32" s="151">
        <v>589000</v>
      </c>
      <c r="E32" s="151">
        <v>0</v>
      </c>
      <c r="F32" s="151">
        <v>0</v>
      </c>
      <c r="G32" s="152"/>
      <c r="H32" s="152"/>
      <c r="I32" s="151">
        <v>0</v>
      </c>
      <c r="J32" s="151">
        <v>0</v>
      </c>
      <c r="K32" s="153">
        <v>0</v>
      </c>
      <c r="L32" s="154">
        <v>1.39</v>
      </c>
      <c r="M32" s="155">
        <v>1.34</v>
      </c>
      <c r="N32" s="151">
        <v>4922</v>
      </c>
      <c r="O32" s="151">
        <v>4949</v>
      </c>
      <c r="P32" s="151">
        <v>151</v>
      </c>
      <c r="Q32" s="156">
        <v>1945.3799999999997</v>
      </c>
      <c r="R32" s="157">
        <v>552</v>
      </c>
      <c r="S32" s="158">
        <v>7</v>
      </c>
      <c r="T32" s="164">
        <v>27720.6</v>
      </c>
      <c r="U32" s="208">
        <v>6262.6</v>
      </c>
      <c r="V32" s="209">
        <v>22766.85</v>
      </c>
      <c r="W32" s="164">
        <v>196644.01999999996</v>
      </c>
      <c r="X32" s="208">
        <v>7184.55</v>
      </c>
      <c r="Y32" s="208">
        <v>70314.83</v>
      </c>
      <c r="Z32" s="209">
        <v>35964.550000000003</v>
      </c>
      <c r="AA32" s="163">
        <v>150499.85</v>
      </c>
      <c r="AB32" s="208">
        <v>1437.3273788517788</v>
      </c>
      <c r="AC32" s="208">
        <v>346.86720167953411</v>
      </c>
      <c r="AD32" s="208">
        <v>543.2849383719356</v>
      </c>
      <c r="AE32" s="208">
        <v>109.67661115245104</v>
      </c>
      <c r="AF32" s="208">
        <v>66.518515508600842</v>
      </c>
      <c r="AG32" s="208">
        <v>108.62332385209264</v>
      </c>
      <c r="AH32" s="163">
        <v>2612.2979694163932</v>
      </c>
      <c r="AI32" s="208">
        <v>1482.3134633153554</v>
      </c>
      <c r="AJ32" s="208">
        <v>303.40981343032257</v>
      </c>
      <c r="AK32" s="208">
        <v>516.31155115511547</v>
      </c>
      <c r="AL32" s="208">
        <v>115.33218296663935</v>
      </c>
      <c r="AM32" s="208">
        <v>61.493486899710376</v>
      </c>
      <c r="AN32" s="208">
        <v>76.910971913517869</v>
      </c>
      <c r="AO32" s="163">
        <v>2555.7714696806606</v>
      </c>
      <c r="AP32" s="159">
        <v>1459.820421083567</v>
      </c>
      <c r="AQ32" s="160">
        <v>325.13850755492831</v>
      </c>
      <c r="AR32" s="161">
        <v>529.79824476352553</v>
      </c>
      <c r="AS32" s="161">
        <v>112.5043970595452</v>
      </c>
      <c r="AT32" s="160">
        <v>64.006001204155609</v>
      </c>
      <c r="AU32" s="162">
        <v>92.767147882805261</v>
      </c>
      <c r="AV32" s="163">
        <v>2584.0347195485265</v>
      </c>
      <c r="AW32" s="164">
        <v>2298.3786631301355</v>
      </c>
      <c r="AX32" s="165">
        <v>0.94499999999999995</v>
      </c>
      <c r="AY32" s="166">
        <v>-0.37944105426956859</v>
      </c>
      <c r="AZ32" s="164">
        <v>1373.9</v>
      </c>
      <c r="BA32" s="160">
        <v>11606.50554833541</v>
      </c>
      <c r="BB32" s="160">
        <v>7150</v>
      </c>
      <c r="BC32" s="162">
        <v>210</v>
      </c>
      <c r="BD32" s="167"/>
    </row>
    <row r="33" spans="1:56" x14ac:dyDescent="0.2">
      <c r="A33" s="168">
        <v>29</v>
      </c>
      <c r="B33" s="169" t="s">
        <v>58</v>
      </c>
      <c r="C33" s="170">
        <v>1078300</v>
      </c>
      <c r="D33" s="104">
        <v>685800</v>
      </c>
      <c r="E33" s="104">
        <v>824700</v>
      </c>
      <c r="F33" s="104">
        <v>0</v>
      </c>
      <c r="I33" s="104">
        <v>0</v>
      </c>
      <c r="J33" s="104">
        <v>222400</v>
      </c>
      <c r="K33" s="171">
        <v>0</v>
      </c>
      <c r="L33" s="172">
        <v>1.48</v>
      </c>
      <c r="M33" s="173">
        <v>1.44</v>
      </c>
      <c r="N33" s="104">
        <v>3135</v>
      </c>
      <c r="O33" s="104">
        <v>3180</v>
      </c>
      <c r="P33" s="104">
        <v>113</v>
      </c>
      <c r="Q33" s="174">
        <v>1305.3130000000001</v>
      </c>
      <c r="R33" s="175">
        <v>431</v>
      </c>
      <c r="S33" s="176">
        <v>20</v>
      </c>
      <c r="T33" s="182">
        <v>0</v>
      </c>
      <c r="U33" s="207">
        <v>0</v>
      </c>
      <c r="V33" s="210">
        <v>24427.55</v>
      </c>
      <c r="W33" s="182">
        <v>358280.87</v>
      </c>
      <c r="X33" s="207">
        <v>9558.9</v>
      </c>
      <c r="Y33" s="207">
        <v>96636.78</v>
      </c>
      <c r="Z33" s="210">
        <v>47603.45</v>
      </c>
      <c r="AA33" s="181">
        <v>114172.29999999999</v>
      </c>
      <c r="AB33" s="207">
        <v>1542.0355071042143</v>
      </c>
      <c r="AC33" s="207">
        <v>77.004061669324841</v>
      </c>
      <c r="AD33" s="207">
        <v>113.49957469431155</v>
      </c>
      <c r="AE33" s="207">
        <v>81.499594421916925</v>
      </c>
      <c r="AF33" s="207">
        <v>38.383838383838381</v>
      </c>
      <c r="AG33" s="207">
        <v>47.434481658692185</v>
      </c>
      <c r="AH33" s="181">
        <v>1899.8570579322982</v>
      </c>
      <c r="AI33" s="207">
        <v>1586.3398965995793</v>
      </c>
      <c r="AJ33" s="207">
        <v>88.371603773584908</v>
      </c>
      <c r="AK33" s="207">
        <v>97.712400419287192</v>
      </c>
      <c r="AL33" s="207">
        <v>83.644899396744393</v>
      </c>
      <c r="AM33" s="207">
        <v>59.26272536687631</v>
      </c>
      <c r="AN33" s="207">
        <v>59.764685534591187</v>
      </c>
      <c r="AO33" s="181">
        <v>1975.0962110906632</v>
      </c>
      <c r="AP33" s="177">
        <v>1564.1877018518967</v>
      </c>
      <c r="AQ33" s="178">
        <v>82.687832721454868</v>
      </c>
      <c r="AR33" s="179">
        <v>105.60598755679936</v>
      </c>
      <c r="AS33" s="179">
        <v>82.572246909330659</v>
      </c>
      <c r="AT33" s="178">
        <v>48.823281875357345</v>
      </c>
      <c r="AU33" s="180">
        <v>53.599583596641686</v>
      </c>
      <c r="AV33" s="181">
        <v>1937.4766345114808</v>
      </c>
      <c r="AW33" s="182">
        <v>2298.3786631301355</v>
      </c>
      <c r="AX33" s="183">
        <v>0.94499999999999995</v>
      </c>
      <c r="AY33" s="184">
        <v>0</v>
      </c>
      <c r="AZ33" s="182">
        <v>1373.9</v>
      </c>
      <c r="BA33" s="178">
        <v>11606.50554833541</v>
      </c>
      <c r="BB33" s="178">
        <v>7150</v>
      </c>
      <c r="BC33" s="180">
        <v>210</v>
      </c>
      <c r="BD33" s="185"/>
    </row>
    <row r="34" spans="1:56" x14ac:dyDescent="0.2">
      <c r="A34" s="148">
        <v>30</v>
      </c>
      <c r="B34" s="149" t="s">
        <v>59</v>
      </c>
      <c r="C34" s="150">
        <v>1896700</v>
      </c>
      <c r="D34" s="151">
        <v>1298900</v>
      </c>
      <c r="E34" s="151">
        <v>630200</v>
      </c>
      <c r="F34" s="151">
        <v>141300</v>
      </c>
      <c r="G34" s="152"/>
      <c r="H34" s="152"/>
      <c r="I34" s="151">
        <v>0</v>
      </c>
      <c r="J34" s="151">
        <v>0</v>
      </c>
      <c r="K34" s="153">
        <v>0</v>
      </c>
      <c r="L34" s="154">
        <v>1.32</v>
      </c>
      <c r="M34" s="155">
        <v>1.3</v>
      </c>
      <c r="N34" s="151">
        <v>6871</v>
      </c>
      <c r="O34" s="151">
        <v>6943</v>
      </c>
      <c r="P34" s="151">
        <v>251</v>
      </c>
      <c r="Q34" s="156">
        <v>2705.4816000000001</v>
      </c>
      <c r="R34" s="157">
        <v>855</v>
      </c>
      <c r="S34" s="158">
        <v>14</v>
      </c>
      <c r="T34" s="164">
        <v>339068.72</v>
      </c>
      <c r="U34" s="208">
        <v>116130</v>
      </c>
      <c r="V34" s="209">
        <v>30175.5</v>
      </c>
      <c r="W34" s="164">
        <v>619436.65</v>
      </c>
      <c r="X34" s="208">
        <v>469.5</v>
      </c>
      <c r="Y34" s="208">
        <v>101084.54</v>
      </c>
      <c r="Z34" s="209">
        <v>59060.1</v>
      </c>
      <c r="AA34" s="163">
        <v>223154.94999999998</v>
      </c>
      <c r="AB34" s="208">
        <v>1643.9531029588741</v>
      </c>
      <c r="AC34" s="208">
        <v>80.045282103526915</v>
      </c>
      <c r="AD34" s="208">
        <v>106.72006500751951</v>
      </c>
      <c r="AE34" s="208">
        <v>80.621228733598329</v>
      </c>
      <c r="AF34" s="208">
        <v>31.294842089943238</v>
      </c>
      <c r="AG34" s="208">
        <v>29.022471256003495</v>
      </c>
      <c r="AH34" s="163">
        <v>1971.6569921494654</v>
      </c>
      <c r="AI34" s="208">
        <v>1625.9735094129001</v>
      </c>
      <c r="AJ34" s="208">
        <v>87.483508569782501</v>
      </c>
      <c r="AK34" s="208">
        <v>93.268275001200266</v>
      </c>
      <c r="AL34" s="208">
        <v>82.496722384286372</v>
      </c>
      <c r="AM34" s="208">
        <v>33.929115175956603</v>
      </c>
      <c r="AN34" s="208">
        <v>37.81776369484853</v>
      </c>
      <c r="AO34" s="163">
        <v>1960.9688942389744</v>
      </c>
      <c r="AP34" s="159">
        <v>1634.9633061858872</v>
      </c>
      <c r="AQ34" s="160">
        <v>83.764395336654701</v>
      </c>
      <c r="AR34" s="161">
        <v>99.994170004359887</v>
      </c>
      <c r="AS34" s="161">
        <v>81.55897555894235</v>
      </c>
      <c r="AT34" s="160">
        <v>32.611978632949921</v>
      </c>
      <c r="AU34" s="162">
        <v>33.420117475426011</v>
      </c>
      <c r="AV34" s="163">
        <v>1966.31294319422</v>
      </c>
      <c r="AW34" s="164">
        <v>2298.3786631301355</v>
      </c>
      <c r="AX34" s="165">
        <v>0.94499999999999995</v>
      </c>
      <c r="AY34" s="166">
        <v>0</v>
      </c>
      <c r="AZ34" s="164">
        <v>1373.9</v>
      </c>
      <c r="BA34" s="160">
        <v>11606.50554833541</v>
      </c>
      <c r="BB34" s="160">
        <v>7150</v>
      </c>
      <c r="BC34" s="162">
        <v>210</v>
      </c>
      <c r="BD34" s="167"/>
    </row>
    <row r="35" spans="1:56" x14ac:dyDescent="0.2">
      <c r="A35" s="168">
        <v>31</v>
      </c>
      <c r="B35" s="169" t="s">
        <v>60</v>
      </c>
      <c r="C35" s="170">
        <v>0</v>
      </c>
      <c r="D35" s="104">
        <v>0</v>
      </c>
      <c r="E35" s="104">
        <v>2300</v>
      </c>
      <c r="F35" s="104">
        <v>373700</v>
      </c>
      <c r="I35" s="104">
        <v>0</v>
      </c>
      <c r="J35" s="104">
        <v>0</v>
      </c>
      <c r="K35" s="171">
        <v>0</v>
      </c>
      <c r="L35" s="172">
        <v>1.18</v>
      </c>
      <c r="M35" s="173">
        <v>1.18</v>
      </c>
      <c r="N35" s="104">
        <v>11418</v>
      </c>
      <c r="O35" s="104">
        <v>11536</v>
      </c>
      <c r="P35" s="104">
        <v>502</v>
      </c>
      <c r="Q35" s="174">
        <v>1666.3280000000002</v>
      </c>
      <c r="R35" s="175">
        <v>1133</v>
      </c>
      <c r="S35" s="176">
        <v>33</v>
      </c>
      <c r="T35" s="182">
        <v>241923.65</v>
      </c>
      <c r="U35" s="207">
        <v>54682.75</v>
      </c>
      <c r="V35" s="210">
        <v>95981.9</v>
      </c>
      <c r="W35" s="182">
        <v>1836939.76</v>
      </c>
      <c r="X35" s="207">
        <v>49999</v>
      </c>
      <c r="Y35" s="207">
        <v>213826.98</v>
      </c>
      <c r="Z35" s="210">
        <v>531848.92000000004</v>
      </c>
      <c r="AA35" s="181">
        <v>347706.55</v>
      </c>
      <c r="AB35" s="207">
        <v>1811.8595300153261</v>
      </c>
      <c r="AC35" s="207">
        <v>166.82687861271677</v>
      </c>
      <c r="AD35" s="207">
        <v>263.66429614059672</v>
      </c>
      <c r="AE35" s="207">
        <v>96.949869800842919</v>
      </c>
      <c r="AF35" s="207">
        <v>97.901558942021367</v>
      </c>
      <c r="AG35" s="207">
        <v>61.909198925672911</v>
      </c>
      <c r="AH35" s="181">
        <v>2499.1113324371772</v>
      </c>
      <c r="AI35" s="207">
        <v>1757.0795872288288</v>
      </c>
      <c r="AJ35" s="207">
        <v>153.00637135922329</v>
      </c>
      <c r="AK35" s="207">
        <v>282.65353675450763</v>
      </c>
      <c r="AL35" s="207">
        <v>100.26594223361917</v>
      </c>
      <c r="AM35" s="207">
        <v>43.824815071659728</v>
      </c>
      <c r="AN35" s="207">
        <v>42.123234512251507</v>
      </c>
      <c r="AO35" s="181">
        <v>2378.9534871600904</v>
      </c>
      <c r="AP35" s="177">
        <v>1784.4695586220773</v>
      </c>
      <c r="AQ35" s="178">
        <v>159.91662498597003</v>
      </c>
      <c r="AR35" s="179">
        <v>273.1589164475522</v>
      </c>
      <c r="AS35" s="179">
        <v>98.607906017231045</v>
      </c>
      <c r="AT35" s="178">
        <v>70.863187006840548</v>
      </c>
      <c r="AU35" s="180">
        <v>52.016216718962212</v>
      </c>
      <c r="AV35" s="181">
        <v>2439.0324097986336</v>
      </c>
      <c r="AW35" s="182">
        <v>2298.3786631301355</v>
      </c>
      <c r="AX35" s="183">
        <v>0.94499999999999995</v>
      </c>
      <c r="AY35" s="184">
        <v>-0.2459194548217527</v>
      </c>
      <c r="AZ35" s="182">
        <v>1373.9</v>
      </c>
      <c r="BA35" s="178">
        <v>11606.50554833541</v>
      </c>
      <c r="BB35" s="178">
        <v>7150</v>
      </c>
      <c r="BC35" s="180">
        <v>210</v>
      </c>
      <c r="BD35" s="185"/>
    </row>
    <row r="36" spans="1:56" x14ac:dyDescent="0.2">
      <c r="A36" s="148">
        <v>32</v>
      </c>
      <c r="B36" s="149" t="s">
        <v>61</v>
      </c>
      <c r="C36" s="150">
        <v>836500</v>
      </c>
      <c r="D36" s="151">
        <v>347600</v>
      </c>
      <c r="E36" s="151">
        <v>0</v>
      </c>
      <c r="F36" s="151">
        <v>297800</v>
      </c>
      <c r="G36" s="152"/>
      <c r="H36" s="152"/>
      <c r="I36" s="151">
        <v>0</v>
      </c>
      <c r="J36" s="151">
        <v>0</v>
      </c>
      <c r="K36" s="153">
        <v>0</v>
      </c>
      <c r="L36" s="154">
        <v>1.45</v>
      </c>
      <c r="M36" s="155">
        <v>1.45</v>
      </c>
      <c r="N36" s="151">
        <v>4661</v>
      </c>
      <c r="O36" s="151">
        <v>4676</v>
      </c>
      <c r="P36" s="151">
        <v>140</v>
      </c>
      <c r="Q36" s="156">
        <v>1438.3589999999999</v>
      </c>
      <c r="R36" s="157">
        <v>538</v>
      </c>
      <c r="S36" s="158">
        <v>7</v>
      </c>
      <c r="T36" s="164">
        <v>432771</v>
      </c>
      <c r="U36" s="208">
        <v>27878.2</v>
      </c>
      <c r="V36" s="209">
        <v>0</v>
      </c>
      <c r="W36" s="164">
        <v>833419.36</v>
      </c>
      <c r="X36" s="208">
        <v>22242.799999999999</v>
      </c>
      <c r="Y36" s="208">
        <v>118000.7</v>
      </c>
      <c r="Z36" s="209">
        <v>57955</v>
      </c>
      <c r="AA36" s="163">
        <v>124551.6</v>
      </c>
      <c r="AB36" s="208">
        <v>1610.8103086784242</v>
      </c>
      <c r="AC36" s="208">
        <v>122.86856897661447</v>
      </c>
      <c r="AD36" s="208">
        <v>170.44929557319603</v>
      </c>
      <c r="AE36" s="208">
        <v>87.340825480041744</v>
      </c>
      <c r="AF36" s="208">
        <v>28.107845240649361</v>
      </c>
      <c r="AG36" s="208">
        <v>74.811842952156184</v>
      </c>
      <c r="AH36" s="163">
        <v>2094.3886869010817</v>
      </c>
      <c r="AI36" s="208">
        <v>1590.0029957928446</v>
      </c>
      <c r="AJ36" s="208">
        <v>128.97422298260622</v>
      </c>
      <c r="AK36" s="208">
        <v>114.11894069004846</v>
      </c>
      <c r="AL36" s="208">
        <v>90.878809073411162</v>
      </c>
      <c r="AM36" s="208">
        <v>55.11771457085829</v>
      </c>
      <c r="AN36" s="208">
        <v>24.346592529227262</v>
      </c>
      <c r="AO36" s="163">
        <v>2003.4392756389962</v>
      </c>
      <c r="AP36" s="159">
        <v>1600.4066522356343</v>
      </c>
      <c r="AQ36" s="160">
        <v>125.92139597961034</v>
      </c>
      <c r="AR36" s="161">
        <v>142.28411813162225</v>
      </c>
      <c r="AS36" s="161">
        <v>89.10981727672646</v>
      </c>
      <c r="AT36" s="160">
        <v>41.612779905753825</v>
      </c>
      <c r="AU36" s="162">
        <v>49.579217740691725</v>
      </c>
      <c r="AV36" s="163">
        <v>2048.9139812700387</v>
      </c>
      <c r="AW36" s="164">
        <v>2298.3786631301355</v>
      </c>
      <c r="AX36" s="165">
        <v>0.94499999999999995</v>
      </c>
      <c r="AY36" s="166">
        <v>0</v>
      </c>
      <c r="AZ36" s="164">
        <v>1373.9</v>
      </c>
      <c r="BA36" s="160">
        <v>11606.50554833541</v>
      </c>
      <c r="BB36" s="160">
        <v>7150</v>
      </c>
      <c r="BC36" s="162">
        <v>210</v>
      </c>
      <c r="BD36" s="167"/>
    </row>
    <row r="37" spans="1:56" x14ac:dyDescent="0.2">
      <c r="A37" s="168">
        <v>33</v>
      </c>
      <c r="B37" s="169" t="s">
        <v>62</v>
      </c>
      <c r="C37" s="170">
        <v>2616900</v>
      </c>
      <c r="D37" s="104">
        <v>343100</v>
      </c>
      <c r="E37" s="104">
        <v>701700</v>
      </c>
      <c r="F37" s="104">
        <v>0</v>
      </c>
      <c r="I37" s="104">
        <v>449500</v>
      </c>
      <c r="J37" s="104">
        <v>0</v>
      </c>
      <c r="K37" s="171">
        <v>0</v>
      </c>
      <c r="L37" s="172">
        <v>1.48</v>
      </c>
      <c r="M37" s="173">
        <v>1.48</v>
      </c>
      <c r="N37" s="104">
        <v>5084</v>
      </c>
      <c r="O37" s="104">
        <v>5163</v>
      </c>
      <c r="P37" s="104">
        <v>189</v>
      </c>
      <c r="Q37" s="174">
        <v>1558.5579999999995</v>
      </c>
      <c r="R37" s="175">
        <v>655</v>
      </c>
      <c r="S37" s="176">
        <v>16</v>
      </c>
      <c r="T37" s="182">
        <v>0</v>
      </c>
      <c r="U37" s="207">
        <v>0</v>
      </c>
      <c r="V37" s="210">
        <v>0</v>
      </c>
      <c r="W37" s="182">
        <v>330925.7</v>
      </c>
      <c r="X37" s="207">
        <v>29011</v>
      </c>
      <c r="Y37" s="207">
        <v>66419</v>
      </c>
      <c r="Z37" s="210">
        <v>97050</v>
      </c>
      <c r="AA37" s="181">
        <v>93413.700000000012</v>
      </c>
      <c r="AB37" s="207">
        <v>1456.3243966733187</v>
      </c>
      <c r="AC37" s="207">
        <v>99.013591660110151</v>
      </c>
      <c r="AD37" s="207">
        <v>64.79340414371886</v>
      </c>
      <c r="AE37" s="207">
        <v>85.031940086200024</v>
      </c>
      <c r="AF37" s="207">
        <v>34.694138473642802</v>
      </c>
      <c r="AG37" s="207">
        <v>36.877366902701283</v>
      </c>
      <c r="AH37" s="181">
        <v>1776.7348379396917</v>
      </c>
      <c r="AI37" s="207">
        <v>1538.498624084654</v>
      </c>
      <c r="AJ37" s="207">
        <v>100.66155981664406</v>
      </c>
      <c r="AK37" s="207">
        <v>68.964310155594291</v>
      </c>
      <c r="AL37" s="207">
        <v>87.275500127077621</v>
      </c>
      <c r="AM37" s="207">
        <v>39.10891600490671</v>
      </c>
      <c r="AN37" s="207">
        <v>38.70567499515785</v>
      </c>
      <c r="AO37" s="181">
        <v>1873.2145851840344</v>
      </c>
      <c r="AP37" s="177">
        <v>1497.4115103789863</v>
      </c>
      <c r="AQ37" s="178">
        <v>99.837575738377097</v>
      </c>
      <c r="AR37" s="179">
        <v>66.878857149656568</v>
      </c>
      <c r="AS37" s="179">
        <v>86.153720106638815</v>
      </c>
      <c r="AT37" s="178">
        <v>36.901527239274756</v>
      </c>
      <c r="AU37" s="180">
        <v>37.791520948929566</v>
      </c>
      <c r="AV37" s="181">
        <v>1824.9747115618632</v>
      </c>
      <c r="AW37" s="182">
        <v>2298.3786631301355</v>
      </c>
      <c r="AX37" s="183">
        <v>0.94499999999999995</v>
      </c>
      <c r="AY37" s="184">
        <v>0</v>
      </c>
      <c r="AZ37" s="182">
        <v>1373.9</v>
      </c>
      <c r="BA37" s="178">
        <v>11606.50554833541</v>
      </c>
      <c r="BB37" s="178">
        <v>7150</v>
      </c>
      <c r="BC37" s="180">
        <v>210</v>
      </c>
      <c r="BD37" s="185"/>
    </row>
    <row r="38" spans="1:56" x14ac:dyDescent="0.2">
      <c r="A38" s="148">
        <v>34</v>
      </c>
      <c r="B38" s="149" t="s">
        <v>63</v>
      </c>
      <c r="C38" s="150">
        <v>0</v>
      </c>
      <c r="D38" s="151">
        <v>0</v>
      </c>
      <c r="E38" s="151">
        <v>0</v>
      </c>
      <c r="F38" s="151">
        <v>0</v>
      </c>
      <c r="G38" s="152"/>
      <c r="H38" s="152"/>
      <c r="I38" s="151">
        <v>0</v>
      </c>
      <c r="J38" s="151">
        <v>0</v>
      </c>
      <c r="K38" s="153">
        <v>0</v>
      </c>
      <c r="L38" s="154">
        <v>1.42</v>
      </c>
      <c r="M38" s="155">
        <v>1.42</v>
      </c>
      <c r="N38" s="151">
        <v>5450</v>
      </c>
      <c r="O38" s="151">
        <v>5779</v>
      </c>
      <c r="P38" s="151">
        <v>249</v>
      </c>
      <c r="Q38" s="156">
        <v>943.07599999999991</v>
      </c>
      <c r="R38" s="157">
        <v>605</v>
      </c>
      <c r="S38" s="158">
        <v>10</v>
      </c>
      <c r="T38" s="164">
        <v>0</v>
      </c>
      <c r="U38" s="208">
        <v>18000</v>
      </c>
      <c r="V38" s="209">
        <v>17140.099999999999</v>
      </c>
      <c r="W38" s="164">
        <v>276642.05</v>
      </c>
      <c r="X38" s="208">
        <v>6108</v>
      </c>
      <c r="Y38" s="208">
        <v>76359.25</v>
      </c>
      <c r="Z38" s="209">
        <v>56723.35</v>
      </c>
      <c r="AA38" s="163">
        <v>166068.80000000002</v>
      </c>
      <c r="AB38" s="208">
        <v>1747.4833133871775</v>
      </c>
      <c r="AC38" s="208">
        <v>73.391339449541292</v>
      </c>
      <c r="AD38" s="208">
        <v>154.21655045871557</v>
      </c>
      <c r="AE38" s="208">
        <v>87.218531554330184</v>
      </c>
      <c r="AF38" s="208">
        <v>61.256477064220178</v>
      </c>
      <c r="AG38" s="208">
        <v>36.48980428134557</v>
      </c>
      <c r="AH38" s="163">
        <v>2160.0560161953304</v>
      </c>
      <c r="AI38" s="208">
        <v>1745.324014950027</v>
      </c>
      <c r="AJ38" s="208">
        <v>68.494699198246536</v>
      </c>
      <c r="AK38" s="208">
        <v>182.63270462017653</v>
      </c>
      <c r="AL38" s="208">
        <v>87.167983822162398</v>
      </c>
      <c r="AM38" s="208">
        <v>112.46371921324337</v>
      </c>
      <c r="AN38" s="208">
        <v>87.253175289842545</v>
      </c>
      <c r="AO38" s="163">
        <v>2283.3362970936982</v>
      </c>
      <c r="AP38" s="159">
        <v>1746.4036641686023</v>
      </c>
      <c r="AQ38" s="160">
        <v>70.943019323893907</v>
      </c>
      <c r="AR38" s="161">
        <v>168.42462753944605</v>
      </c>
      <c r="AS38" s="161">
        <v>87.193257688246291</v>
      </c>
      <c r="AT38" s="160">
        <v>86.860098138731772</v>
      </c>
      <c r="AU38" s="162">
        <v>61.871489785594058</v>
      </c>
      <c r="AV38" s="163">
        <v>2221.6961566445138</v>
      </c>
      <c r="AW38" s="164">
        <v>2298.3786631301355</v>
      </c>
      <c r="AX38" s="165">
        <v>0.94499999999999995</v>
      </c>
      <c r="AY38" s="166">
        <v>-4.5791027976780058E-2</v>
      </c>
      <c r="AZ38" s="164">
        <v>1373.9</v>
      </c>
      <c r="BA38" s="160">
        <v>11606.50554833541</v>
      </c>
      <c r="BB38" s="160">
        <v>7150</v>
      </c>
      <c r="BC38" s="162">
        <v>210</v>
      </c>
      <c r="BD38" s="167"/>
    </row>
    <row r="39" spans="1:56" x14ac:dyDescent="0.2">
      <c r="A39" s="168">
        <v>35</v>
      </c>
      <c r="B39" s="169" t="s">
        <v>64</v>
      </c>
      <c r="C39" s="170">
        <v>1443400</v>
      </c>
      <c r="D39" s="104">
        <v>374500</v>
      </c>
      <c r="E39" s="104">
        <v>841200</v>
      </c>
      <c r="F39" s="104">
        <v>31800</v>
      </c>
      <c r="I39" s="104">
        <v>0</v>
      </c>
      <c r="J39" s="104">
        <v>0</v>
      </c>
      <c r="K39" s="171">
        <v>0</v>
      </c>
      <c r="L39" s="172">
        <v>1.42</v>
      </c>
      <c r="M39" s="173">
        <v>1.42</v>
      </c>
      <c r="N39" s="104">
        <v>4434</v>
      </c>
      <c r="O39" s="104">
        <v>4488</v>
      </c>
      <c r="P39" s="104">
        <v>124</v>
      </c>
      <c r="Q39" s="174">
        <v>1410.2589999999998</v>
      </c>
      <c r="R39" s="175">
        <v>588</v>
      </c>
      <c r="S39" s="176">
        <v>16</v>
      </c>
      <c r="T39" s="182">
        <v>92583</v>
      </c>
      <c r="U39" s="207">
        <v>35811.949999999997</v>
      </c>
      <c r="V39" s="210">
        <v>77054.75</v>
      </c>
      <c r="W39" s="182">
        <v>189806.05</v>
      </c>
      <c r="X39" s="207">
        <v>2177.1</v>
      </c>
      <c r="Y39" s="207">
        <v>54246.5</v>
      </c>
      <c r="Z39" s="210">
        <v>35821</v>
      </c>
      <c r="AA39" s="181">
        <v>57086.149999999994</v>
      </c>
      <c r="AB39" s="207">
        <v>1582.0153846823623</v>
      </c>
      <c r="AC39" s="207">
        <v>51.169861674936094</v>
      </c>
      <c r="AD39" s="207">
        <v>102.63710720192452</v>
      </c>
      <c r="AE39" s="207">
        <v>94.901267516702035</v>
      </c>
      <c r="AF39" s="207">
        <v>63.824988723500226</v>
      </c>
      <c r="AG39" s="207">
        <v>79.017238009321915</v>
      </c>
      <c r="AH39" s="181">
        <v>1973.5658478087471</v>
      </c>
      <c r="AI39" s="207">
        <v>1590.3498445498094</v>
      </c>
      <c r="AJ39" s="207">
        <v>51.995595662507419</v>
      </c>
      <c r="AK39" s="207">
        <v>101.1248514557338</v>
      </c>
      <c r="AL39" s="207">
        <v>99.467206775262767</v>
      </c>
      <c r="AM39" s="207">
        <v>45.486326500297089</v>
      </c>
      <c r="AN39" s="207">
        <v>27.798700237670825</v>
      </c>
      <c r="AO39" s="181">
        <v>1916.2225251812813</v>
      </c>
      <c r="AP39" s="177">
        <v>1586.1826146160859</v>
      </c>
      <c r="AQ39" s="178">
        <v>51.582728668721757</v>
      </c>
      <c r="AR39" s="179">
        <v>101.88097932882917</v>
      </c>
      <c r="AS39" s="179">
        <v>97.184237145982394</v>
      </c>
      <c r="AT39" s="178">
        <v>54.655657611898661</v>
      </c>
      <c r="AU39" s="180">
        <v>53.407969123496372</v>
      </c>
      <c r="AV39" s="181">
        <v>1944.8941864950143</v>
      </c>
      <c r="AW39" s="182">
        <v>2298.3786631301355</v>
      </c>
      <c r="AX39" s="183">
        <v>0.94499999999999995</v>
      </c>
      <c r="AY39" s="184">
        <v>0</v>
      </c>
      <c r="AZ39" s="182">
        <v>1373.9</v>
      </c>
      <c r="BA39" s="178">
        <v>11606.50554833541</v>
      </c>
      <c r="BB39" s="178">
        <v>7150</v>
      </c>
      <c r="BC39" s="180">
        <v>210</v>
      </c>
      <c r="BD39" s="185"/>
    </row>
    <row r="40" spans="1:56" x14ac:dyDescent="0.2">
      <c r="A40" s="148">
        <v>36</v>
      </c>
      <c r="B40" s="149" t="s">
        <v>65</v>
      </c>
      <c r="C40" s="150">
        <v>0</v>
      </c>
      <c r="D40" s="151">
        <v>0</v>
      </c>
      <c r="E40" s="151">
        <v>0</v>
      </c>
      <c r="F40" s="151">
        <v>102700</v>
      </c>
      <c r="G40" s="152"/>
      <c r="H40" s="152"/>
      <c r="I40" s="151">
        <v>0</v>
      </c>
      <c r="J40" s="151">
        <v>0</v>
      </c>
      <c r="K40" s="153">
        <v>0</v>
      </c>
      <c r="L40" s="154">
        <v>1.05</v>
      </c>
      <c r="M40" s="155">
        <v>1</v>
      </c>
      <c r="N40" s="151">
        <v>5499</v>
      </c>
      <c r="O40" s="151">
        <v>5590</v>
      </c>
      <c r="P40" s="151">
        <v>290</v>
      </c>
      <c r="Q40" s="156">
        <v>1219.3626000000002</v>
      </c>
      <c r="R40" s="157">
        <v>529</v>
      </c>
      <c r="S40" s="158">
        <v>11</v>
      </c>
      <c r="T40" s="164">
        <v>0</v>
      </c>
      <c r="U40" s="208">
        <v>0</v>
      </c>
      <c r="V40" s="209">
        <v>4029.1</v>
      </c>
      <c r="W40" s="164">
        <v>126603.29999999999</v>
      </c>
      <c r="X40" s="208">
        <v>450</v>
      </c>
      <c r="Y40" s="208">
        <v>-6288.5</v>
      </c>
      <c r="Z40" s="209">
        <v>0</v>
      </c>
      <c r="AA40" s="163">
        <v>259482.5</v>
      </c>
      <c r="AB40" s="208">
        <v>1950.8196888126292</v>
      </c>
      <c r="AC40" s="208">
        <v>121.00958962235558</v>
      </c>
      <c r="AD40" s="208">
        <v>116.00748014790567</v>
      </c>
      <c r="AE40" s="208">
        <v>130.32978507998683</v>
      </c>
      <c r="AF40" s="208">
        <v>75.066981875492516</v>
      </c>
      <c r="AG40" s="208">
        <v>93.587979632660492</v>
      </c>
      <c r="AH40" s="163">
        <v>2486.8215051710304</v>
      </c>
      <c r="AI40" s="208">
        <v>1889.1126523840519</v>
      </c>
      <c r="AJ40" s="208">
        <v>129.22836016696482</v>
      </c>
      <c r="AK40" s="208">
        <v>138.14400119260586</v>
      </c>
      <c r="AL40" s="208">
        <v>129.08490476646784</v>
      </c>
      <c r="AM40" s="208">
        <v>70.280274299344072</v>
      </c>
      <c r="AN40" s="208">
        <v>87.469171138938577</v>
      </c>
      <c r="AO40" s="163">
        <v>2443.3193639483729</v>
      </c>
      <c r="AP40" s="159">
        <v>1919.9661705983406</v>
      </c>
      <c r="AQ40" s="160">
        <v>125.1189748946602</v>
      </c>
      <c r="AR40" s="161">
        <v>127.07574067025575</v>
      </c>
      <c r="AS40" s="161">
        <v>129.70734492322734</v>
      </c>
      <c r="AT40" s="160">
        <v>72.673628087418294</v>
      </c>
      <c r="AU40" s="162">
        <v>90.528575385799542</v>
      </c>
      <c r="AV40" s="163">
        <v>2465.0704345597023</v>
      </c>
      <c r="AW40" s="164">
        <v>2298.3786631301355</v>
      </c>
      <c r="AX40" s="165">
        <v>0.94499999999999995</v>
      </c>
      <c r="AY40" s="166">
        <v>-0.26989589160097643</v>
      </c>
      <c r="AZ40" s="164">
        <v>1373.9</v>
      </c>
      <c r="BA40" s="160">
        <v>11606.50554833541</v>
      </c>
      <c r="BB40" s="160">
        <v>7150</v>
      </c>
      <c r="BC40" s="162">
        <v>210</v>
      </c>
      <c r="BD40" s="167"/>
    </row>
    <row r="41" spans="1:56" x14ac:dyDescent="0.2">
      <c r="A41" s="168">
        <v>37</v>
      </c>
      <c r="B41" s="169" t="s">
        <v>66</v>
      </c>
      <c r="C41" s="170">
        <v>1428900</v>
      </c>
      <c r="D41" s="104">
        <v>1977500</v>
      </c>
      <c r="E41" s="104">
        <v>316200</v>
      </c>
      <c r="F41" s="104">
        <v>0</v>
      </c>
      <c r="I41" s="104">
        <v>0</v>
      </c>
      <c r="J41" s="104">
        <v>203700</v>
      </c>
      <c r="K41" s="171">
        <v>0</v>
      </c>
      <c r="L41" s="172">
        <v>1.62</v>
      </c>
      <c r="M41" s="173">
        <v>1.59</v>
      </c>
      <c r="N41" s="104">
        <v>1544</v>
      </c>
      <c r="O41" s="104">
        <v>1550</v>
      </c>
      <c r="P41" s="104">
        <v>68</v>
      </c>
      <c r="Q41" s="174">
        <v>1832.2354</v>
      </c>
      <c r="R41" s="175">
        <v>206</v>
      </c>
      <c r="S41" s="176">
        <v>3</v>
      </c>
      <c r="T41" s="182">
        <v>0</v>
      </c>
      <c r="U41" s="207">
        <v>0</v>
      </c>
      <c r="V41" s="210">
        <v>0</v>
      </c>
      <c r="W41" s="182">
        <v>146131.92000000001</v>
      </c>
      <c r="X41" s="207">
        <v>18715.599999999999</v>
      </c>
      <c r="Y41" s="207">
        <v>21418.25</v>
      </c>
      <c r="Z41" s="210">
        <v>7540.05</v>
      </c>
      <c r="AA41" s="181">
        <v>25948.25</v>
      </c>
      <c r="AB41" s="207">
        <v>1240.7151936611069</v>
      </c>
      <c r="AC41" s="207">
        <v>88.238816925734042</v>
      </c>
      <c r="AD41" s="207">
        <v>49.550129533678763</v>
      </c>
      <c r="AE41" s="207">
        <v>159.23427876958982</v>
      </c>
      <c r="AF41" s="207">
        <v>18.853259930915371</v>
      </c>
      <c r="AG41" s="207">
        <v>16.072042314335064</v>
      </c>
      <c r="AH41" s="181">
        <v>1572.6637211353598</v>
      </c>
      <c r="AI41" s="207">
        <v>1229.4788587949536</v>
      </c>
      <c r="AJ41" s="207">
        <v>112.39692473118278</v>
      </c>
      <c r="AK41" s="207">
        <v>44.346709677419362</v>
      </c>
      <c r="AL41" s="207">
        <v>160.4205360718405</v>
      </c>
      <c r="AM41" s="207">
        <v>33.518731182795698</v>
      </c>
      <c r="AN41" s="207">
        <v>24.963870967741936</v>
      </c>
      <c r="AO41" s="181">
        <v>1605.1256314259338</v>
      </c>
      <c r="AP41" s="177">
        <v>1235.0970262280302</v>
      </c>
      <c r="AQ41" s="178">
        <v>100.31787082845841</v>
      </c>
      <c r="AR41" s="179">
        <v>46.948419605549063</v>
      </c>
      <c r="AS41" s="179">
        <v>159.82740742071516</v>
      </c>
      <c r="AT41" s="178">
        <v>26.185995556855534</v>
      </c>
      <c r="AU41" s="180">
        <v>20.517956641038502</v>
      </c>
      <c r="AV41" s="181">
        <v>1588.894676280647</v>
      </c>
      <c r="AW41" s="182">
        <v>2298.3786631301355</v>
      </c>
      <c r="AX41" s="183">
        <v>0.94499999999999995</v>
      </c>
      <c r="AY41" s="184">
        <v>0</v>
      </c>
      <c r="AZ41" s="182">
        <v>1373.9</v>
      </c>
      <c r="BA41" s="178">
        <v>11606.50554833541</v>
      </c>
      <c r="BB41" s="178">
        <v>7150</v>
      </c>
      <c r="BC41" s="180">
        <v>210</v>
      </c>
      <c r="BD41" s="185"/>
    </row>
    <row r="42" spans="1:56" x14ac:dyDescent="0.2">
      <c r="A42" s="148">
        <v>38</v>
      </c>
      <c r="B42" s="149" t="s">
        <v>67</v>
      </c>
      <c r="C42" s="150">
        <v>4724200</v>
      </c>
      <c r="D42" s="151">
        <v>1229000</v>
      </c>
      <c r="E42" s="151">
        <v>1131300</v>
      </c>
      <c r="F42" s="151">
        <v>0</v>
      </c>
      <c r="G42" s="152"/>
      <c r="H42" s="152"/>
      <c r="I42" s="151">
        <v>0</v>
      </c>
      <c r="J42" s="151">
        <v>0</v>
      </c>
      <c r="K42" s="153">
        <v>0</v>
      </c>
      <c r="L42" s="154">
        <v>1.33</v>
      </c>
      <c r="M42" s="155">
        <v>1.33</v>
      </c>
      <c r="N42" s="151">
        <v>8481</v>
      </c>
      <c r="O42" s="151">
        <v>8537</v>
      </c>
      <c r="P42" s="151">
        <v>320</v>
      </c>
      <c r="Q42" s="156">
        <v>3058.6679999999997</v>
      </c>
      <c r="R42" s="157">
        <v>1082</v>
      </c>
      <c r="S42" s="158">
        <v>22</v>
      </c>
      <c r="T42" s="164">
        <v>113545.45</v>
      </c>
      <c r="U42" s="208">
        <v>11300</v>
      </c>
      <c r="V42" s="209">
        <v>5735.15</v>
      </c>
      <c r="W42" s="164">
        <v>1006535.84</v>
      </c>
      <c r="X42" s="208">
        <v>18019.5</v>
      </c>
      <c r="Y42" s="208">
        <v>104772.39</v>
      </c>
      <c r="Z42" s="209">
        <v>67295.149999999994</v>
      </c>
      <c r="AA42" s="163">
        <v>254292.85</v>
      </c>
      <c r="AB42" s="208">
        <v>1442.4854966125783</v>
      </c>
      <c r="AC42" s="208">
        <v>38.059800338010447</v>
      </c>
      <c r="AD42" s="208">
        <v>101.96948866092836</v>
      </c>
      <c r="AE42" s="208">
        <v>97.85196502069212</v>
      </c>
      <c r="AF42" s="208">
        <v>37.825492276854142</v>
      </c>
      <c r="AG42" s="208">
        <v>36.972412844397283</v>
      </c>
      <c r="AH42" s="163">
        <v>1755.1646557534609</v>
      </c>
      <c r="AI42" s="208">
        <v>1454.4265713149443</v>
      </c>
      <c r="AJ42" s="208">
        <v>32.848604115419157</v>
      </c>
      <c r="AK42" s="208">
        <v>95.360126508141036</v>
      </c>
      <c r="AL42" s="208">
        <v>102.55173166320574</v>
      </c>
      <c r="AM42" s="208">
        <v>49.194924056069652</v>
      </c>
      <c r="AN42" s="208">
        <v>34.553926047401511</v>
      </c>
      <c r="AO42" s="163">
        <v>1768.9358837051816</v>
      </c>
      <c r="AP42" s="159">
        <v>1448.4560339637615</v>
      </c>
      <c r="AQ42" s="160">
        <v>35.454202226714798</v>
      </c>
      <c r="AR42" s="161">
        <v>98.664807584534699</v>
      </c>
      <c r="AS42" s="161">
        <v>100.20184834194893</v>
      </c>
      <c r="AT42" s="160">
        <v>43.510208166461894</v>
      </c>
      <c r="AU42" s="162">
        <v>35.763169445899393</v>
      </c>
      <c r="AV42" s="163">
        <v>1762.0502697293211</v>
      </c>
      <c r="AW42" s="164">
        <v>2298.3786631301355</v>
      </c>
      <c r="AX42" s="165">
        <v>0.94499999999999995</v>
      </c>
      <c r="AY42" s="166">
        <v>0</v>
      </c>
      <c r="AZ42" s="164">
        <v>1373.9</v>
      </c>
      <c r="BA42" s="160">
        <v>11606.50554833541</v>
      </c>
      <c r="BB42" s="160">
        <v>7150</v>
      </c>
      <c r="BC42" s="162">
        <v>210</v>
      </c>
      <c r="BD42" s="167"/>
    </row>
    <row r="43" spans="1:56" x14ac:dyDescent="0.2">
      <c r="A43" s="168">
        <v>39</v>
      </c>
      <c r="B43" s="169" t="s">
        <v>68</v>
      </c>
      <c r="C43" s="170">
        <v>3146400</v>
      </c>
      <c r="D43" s="104">
        <v>1074400</v>
      </c>
      <c r="E43" s="104">
        <v>399000</v>
      </c>
      <c r="F43" s="104">
        <v>19300</v>
      </c>
      <c r="I43" s="104">
        <v>93100</v>
      </c>
      <c r="J43" s="104">
        <v>0</v>
      </c>
      <c r="K43" s="171">
        <v>0</v>
      </c>
      <c r="L43" s="172">
        <v>1.52</v>
      </c>
      <c r="M43" s="173">
        <v>1.52</v>
      </c>
      <c r="N43" s="104">
        <v>4862</v>
      </c>
      <c r="O43" s="104">
        <v>4889</v>
      </c>
      <c r="P43" s="104">
        <v>209</v>
      </c>
      <c r="Q43" s="174">
        <v>2021.3403999999998</v>
      </c>
      <c r="R43" s="175">
        <v>595</v>
      </c>
      <c r="S43" s="176">
        <v>19</v>
      </c>
      <c r="T43" s="182">
        <v>0</v>
      </c>
      <c r="U43" s="207">
        <v>24221.45</v>
      </c>
      <c r="V43" s="210">
        <v>25382.45</v>
      </c>
      <c r="W43" s="182">
        <v>789277.55</v>
      </c>
      <c r="X43" s="207">
        <v>14405.15</v>
      </c>
      <c r="Y43" s="207">
        <v>19506.599999999999</v>
      </c>
      <c r="Z43" s="210">
        <v>45178</v>
      </c>
      <c r="AA43" s="181">
        <v>93413.700000000012</v>
      </c>
      <c r="AB43" s="207">
        <v>1347.656400839704</v>
      </c>
      <c r="AC43" s="207">
        <v>44.33039215686275</v>
      </c>
      <c r="AD43" s="207">
        <v>153.68715891951186</v>
      </c>
      <c r="AE43" s="207">
        <v>103.75303340928092</v>
      </c>
      <c r="AF43" s="207">
        <v>69.154099821746883</v>
      </c>
      <c r="AG43" s="207">
        <v>32.888927738927741</v>
      </c>
      <c r="AH43" s="181">
        <v>1751.4700128860343</v>
      </c>
      <c r="AI43" s="207">
        <v>1356.6949148418637</v>
      </c>
      <c r="AJ43" s="207">
        <v>53.300327265289425</v>
      </c>
      <c r="AK43" s="207">
        <v>119.6531056112361</v>
      </c>
      <c r="AL43" s="207">
        <v>108.67375644413926</v>
      </c>
      <c r="AM43" s="207">
        <v>59.473341514965576</v>
      </c>
      <c r="AN43" s="207">
        <v>41.247439830912931</v>
      </c>
      <c r="AO43" s="181">
        <v>1739.0428855084069</v>
      </c>
      <c r="AP43" s="177">
        <v>1352.175657840784</v>
      </c>
      <c r="AQ43" s="178">
        <v>48.815359711076084</v>
      </c>
      <c r="AR43" s="179">
        <v>136.67013226537398</v>
      </c>
      <c r="AS43" s="179">
        <v>106.21339492671009</v>
      </c>
      <c r="AT43" s="178">
        <v>64.313720668356225</v>
      </c>
      <c r="AU43" s="180">
        <v>37.068183784920336</v>
      </c>
      <c r="AV43" s="181">
        <v>1745.2564491972207</v>
      </c>
      <c r="AW43" s="182">
        <v>2298.3786631301355</v>
      </c>
      <c r="AX43" s="183">
        <v>0.94499999999999995</v>
      </c>
      <c r="AY43" s="184">
        <v>0</v>
      </c>
      <c r="AZ43" s="182">
        <v>1373.9</v>
      </c>
      <c r="BA43" s="178">
        <v>11606.50554833541</v>
      </c>
      <c r="BB43" s="178">
        <v>7150</v>
      </c>
      <c r="BC43" s="180">
        <v>210</v>
      </c>
      <c r="BD43" s="185"/>
    </row>
    <row r="44" spans="1:56" x14ac:dyDescent="0.2">
      <c r="A44" s="148">
        <v>40</v>
      </c>
      <c r="B44" s="149" t="s">
        <v>69</v>
      </c>
      <c r="C44" s="150">
        <v>1872200</v>
      </c>
      <c r="D44" s="151">
        <v>0</v>
      </c>
      <c r="E44" s="151">
        <v>87700</v>
      </c>
      <c r="F44" s="151">
        <v>19400</v>
      </c>
      <c r="G44" s="152"/>
      <c r="H44" s="152"/>
      <c r="I44" s="151">
        <v>0</v>
      </c>
      <c r="J44" s="151">
        <v>0</v>
      </c>
      <c r="K44" s="153">
        <v>0</v>
      </c>
      <c r="L44" s="154">
        <v>1.4</v>
      </c>
      <c r="M44" s="155">
        <v>1.4</v>
      </c>
      <c r="N44" s="151">
        <v>5428</v>
      </c>
      <c r="O44" s="151">
        <v>5432</v>
      </c>
      <c r="P44" s="151">
        <v>249</v>
      </c>
      <c r="Q44" s="156">
        <v>1301.5489999999998</v>
      </c>
      <c r="R44" s="157">
        <v>634</v>
      </c>
      <c r="S44" s="158">
        <v>8</v>
      </c>
      <c r="T44" s="164">
        <v>44083.65</v>
      </c>
      <c r="U44" s="208">
        <v>0</v>
      </c>
      <c r="V44" s="209">
        <v>13041.75</v>
      </c>
      <c r="W44" s="164">
        <v>413689.45</v>
      </c>
      <c r="X44" s="208">
        <v>18137.8</v>
      </c>
      <c r="Y44" s="208">
        <v>156924.45000000001</v>
      </c>
      <c r="Z44" s="209">
        <v>55427.15</v>
      </c>
      <c r="AA44" s="163">
        <v>207586</v>
      </c>
      <c r="AB44" s="208">
        <v>1635.1066557477768</v>
      </c>
      <c r="AC44" s="208">
        <v>63.748010316875465</v>
      </c>
      <c r="AD44" s="208">
        <v>52.084125521984767</v>
      </c>
      <c r="AE44" s="208">
        <v>89.428845625608858</v>
      </c>
      <c r="AF44" s="208">
        <v>64.569927536231887</v>
      </c>
      <c r="AG44" s="208">
        <v>33.839646278555641</v>
      </c>
      <c r="AH44" s="163">
        <v>1938.7772110270334</v>
      </c>
      <c r="AI44" s="208">
        <v>1620.2107573275014</v>
      </c>
      <c r="AJ44" s="208">
        <v>68.192918507609235</v>
      </c>
      <c r="AK44" s="208">
        <v>61.210978154148258</v>
      </c>
      <c r="AL44" s="208">
        <v>92.846794531110376</v>
      </c>
      <c r="AM44" s="208">
        <v>35.767844869906725</v>
      </c>
      <c r="AN44" s="208">
        <v>40.098306332842412</v>
      </c>
      <c r="AO44" s="163">
        <v>1918.3275997231183</v>
      </c>
      <c r="AP44" s="159">
        <v>1627.6587065376391</v>
      </c>
      <c r="AQ44" s="160">
        <v>65.97046441224235</v>
      </c>
      <c r="AR44" s="161">
        <v>56.647551838066512</v>
      </c>
      <c r="AS44" s="161">
        <v>91.137820078359624</v>
      </c>
      <c r="AT44" s="160">
        <v>50.168886203069306</v>
      </c>
      <c r="AU44" s="162">
        <v>36.96897630569903</v>
      </c>
      <c r="AV44" s="163">
        <v>1928.552405375076</v>
      </c>
      <c r="AW44" s="164">
        <v>2298.3786631301355</v>
      </c>
      <c r="AX44" s="165">
        <v>0.94499999999999995</v>
      </c>
      <c r="AY44" s="166">
        <v>0</v>
      </c>
      <c r="AZ44" s="164">
        <v>1373.9</v>
      </c>
      <c r="BA44" s="160">
        <v>11606.50554833541</v>
      </c>
      <c r="BB44" s="160">
        <v>7150</v>
      </c>
      <c r="BC44" s="162">
        <v>210</v>
      </c>
      <c r="BD44" s="167"/>
    </row>
    <row r="45" spans="1:56" x14ac:dyDescent="0.2">
      <c r="A45" s="168">
        <v>41</v>
      </c>
      <c r="B45" s="169" t="s">
        <v>70</v>
      </c>
      <c r="C45" s="170">
        <v>544100</v>
      </c>
      <c r="D45" s="104">
        <v>324600</v>
      </c>
      <c r="E45" s="104">
        <v>0</v>
      </c>
      <c r="F45" s="104">
        <v>145800</v>
      </c>
      <c r="I45" s="104">
        <v>0</v>
      </c>
      <c r="J45" s="104">
        <v>0</v>
      </c>
      <c r="K45" s="171">
        <v>0</v>
      </c>
      <c r="L45" s="172">
        <v>1.4</v>
      </c>
      <c r="M45" s="173">
        <v>1.4</v>
      </c>
      <c r="N45" s="104">
        <v>2723</v>
      </c>
      <c r="O45" s="104">
        <v>2812</v>
      </c>
      <c r="P45" s="104">
        <v>152</v>
      </c>
      <c r="Q45" s="174">
        <v>949.09500000000014</v>
      </c>
      <c r="R45" s="175">
        <v>293</v>
      </c>
      <c r="S45" s="176">
        <v>5</v>
      </c>
      <c r="T45" s="182">
        <v>0</v>
      </c>
      <c r="U45" s="207">
        <v>294785</v>
      </c>
      <c r="V45" s="210">
        <v>0</v>
      </c>
      <c r="W45" s="182">
        <v>38210.549999999988</v>
      </c>
      <c r="X45" s="207">
        <v>1165.8</v>
      </c>
      <c r="Y45" s="207">
        <v>40257.019999999997</v>
      </c>
      <c r="Z45" s="210">
        <v>7493.5</v>
      </c>
      <c r="AA45" s="181">
        <v>119361.95</v>
      </c>
      <c r="AB45" s="207">
        <v>1556.0988765547813</v>
      </c>
      <c r="AC45" s="207">
        <v>69.697539478516347</v>
      </c>
      <c r="AD45" s="207">
        <v>70.290304810870367</v>
      </c>
      <c r="AE45" s="207">
        <v>128.41178182223013</v>
      </c>
      <c r="AF45" s="207">
        <v>122.43377402374833</v>
      </c>
      <c r="AG45" s="207">
        <v>81.142771453054237</v>
      </c>
      <c r="AH45" s="181">
        <v>2028.0750481432005</v>
      </c>
      <c r="AI45" s="207">
        <v>1593.9092138437966</v>
      </c>
      <c r="AJ45" s="207">
        <v>70.457278330962524</v>
      </c>
      <c r="AK45" s="207">
        <v>74.994061166429589</v>
      </c>
      <c r="AL45" s="207">
        <v>133.49723809552555</v>
      </c>
      <c r="AM45" s="207">
        <v>84.940291607396873</v>
      </c>
      <c r="AN45" s="207">
        <v>76.04950213371265</v>
      </c>
      <c r="AO45" s="181">
        <v>2033.8475851778237</v>
      </c>
      <c r="AP45" s="177">
        <v>1575.0040451992891</v>
      </c>
      <c r="AQ45" s="178">
        <v>70.077408904739428</v>
      </c>
      <c r="AR45" s="179">
        <v>72.642182988649978</v>
      </c>
      <c r="AS45" s="179">
        <v>130.95450995887785</v>
      </c>
      <c r="AT45" s="178">
        <v>103.68703281557259</v>
      </c>
      <c r="AU45" s="180">
        <v>78.596136793383437</v>
      </c>
      <c r="AV45" s="181">
        <v>2030.9613166605125</v>
      </c>
      <c r="AW45" s="182">
        <v>2298.3786631301355</v>
      </c>
      <c r="AX45" s="183">
        <v>0.94499999999999995</v>
      </c>
      <c r="AY45" s="184">
        <v>0</v>
      </c>
      <c r="AZ45" s="182">
        <v>1373.9</v>
      </c>
      <c r="BA45" s="178">
        <v>11606.50554833541</v>
      </c>
      <c r="BB45" s="178">
        <v>7150</v>
      </c>
      <c r="BC45" s="180">
        <v>210</v>
      </c>
      <c r="BD45" s="185"/>
    </row>
    <row r="46" spans="1:56" x14ac:dyDescent="0.2">
      <c r="A46" s="148">
        <v>42</v>
      </c>
      <c r="B46" s="149" t="s">
        <v>71</v>
      </c>
      <c r="C46" s="150">
        <v>0</v>
      </c>
      <c r="D46" s="151">
        <v>1142800</v>
      </c>
      <c r="E46" s="151">
        <v>0</v>
      </c>
      <c r="F46" s="151">
        <v>6800</v>
      </c>
      <c r="G46" s="152"/>
      <c r="H46" s="152"/>
      <c r="I46" s="151">
        <v>0</v>
      </c>
      <c r="J46" s="151">
        <v>0</v>
      </c>
      <c r="K46" s="153">
        <v>0</v>
      </c>
      <c r="L46" s="154">
        <v>1.42</v>
      </c>
      <c r="M46" s="155">
        <v>1.37</v>
      </c>
      <c r="N46" s="151">
        <v>1679</v>
      </c>
      <c r="O46" s="151">
        <v>1695</v>
      </c>
      <c r="P46" s="151">
        <v>108</v>
      </c>
      <c r="Q46" s="156">
        <v>1527.9594000000002</v>
      </c>
      <c r="R46" s="157">
        <v>158</v>
      </c>
      <c r="S46" s="158">
        <v>1</v>
      </c>
      <c r="T46" s="164">
        <v>0</v>
      </c>
      <c r="U46" s="208">
        <v>0</v>
      </c>
      <c r="V46" s="209">
        <v>0</v>
      </c>
      <c r="W46" s="164">
        <v>152554.04999999999</v>
      </c>
      <c r="X46" s="208">
        <v>0</v>
      </c>
      <c r="Y46" s="208">
        <v>-2839</v>
      </c>
      <c r="Z46" s="209">
        <v>0</v>
      </c>
      <c r="AA46" s="163">
        <v>57086.149999999994</v>
      </c>
      <c r="AB46" s="208">
        <v>1991.493348538241</v>
      </c>
      <c r="AC46" s="208">
        <v>29.936271590232284</v>
      </c>
      <c r="AD46" s="208">
        <v>34.817609688306533</v>
      </c>
      <c r="AE46" s="208">
        <v>131.77653711561689</v>
      </c>
      <c r="AF46" s="208">
        <v>135.8827675203494</v>
      </c>
      <c r="AG46" s="208">
        <v>108.87540202501486</v>
      </c>
      <c r="AH46" s="163">
        <v>2432.7819364777611</v>
      </c>
      <c r="AI46" s="208">
        <v>1987.3648779580092</v>
      </c>
      <c r="AJ46" s="208">
        <v>27.52220255653884</v>
      </c>
      <c r="AK46" s="208">
        <v>28.114926253687312</v>
      </c>
      <c r="AL46" s="208">
        <v>135.84223548567439</v>
      </c>
      <c r="AM46" s="208">
        <v>145.5819075712881</v>
      </c>
      <c r="AN46" s="208">
        <v>113.75663716814159</v>
      </c>
      <c r="AO46" s="163">
        <v>2438.1827869933391</v>
      </c>
      <c r="AP46" s="159">
        <v>1989.4291132481251</v>
      </c>
      <c r="AQ46" s="160">
        <v>28.729237073385562</v>
      </c>
      <c r="AR46" s="161">
        <v>31.466267970996924</v>
      </c>
      <c r="AS46" s="161">
        <v>133.80938630064566</v>
      </c>
      <c r="AT46" s="160">
        <v>140.73233754581875</v>
      </c>
      <c r="AU46" s="162">
        <v>111.31601959657823</v>
      </c>
      <c r="AV46" s="163">
        <v>2435.4823617355501</v>
      </c>
      <c r="AW46" s="164">
        <v>2298.3786631301355</v>
      </c>
      <c r="AX46" s="165">
        <v>0.94499999999999995</v>
      </c>
      <c r="AY46" s="166">
        <v>-0.24265048554590377</v>
      </c>
      <c r="AZ46" s="164">
        <v>1373.9</v>
      </c>
      <c r="BA46" s="160">
        <v>11606.50554833541</v>
      </c>
      <c r="BB46" s="160">
        <v>7150</v>
      </c>
      <c r="BC46" s="162">
        <v>210</v>
      </c>
      <c r="BD46" s="167"/>
    </row>
    <row r="47" spans="1:56" x14ac:dyDescent="0.2">
      <c r="A47" s="168">
        <v>43</v>
      </c>
      <c r="B47" s="169" t="s">
        <v>72</v>
      </c>
      <c r="C47" s="170">
        <v>0</v>
      </c>
      <c r="D47" s="104">
        <v>0</v>
      </c>
      <c r="E47" s="104">
        <v>128600</v>
      </c>
      <c r="F47" s="104">
        <v>3800</v>
      </c>
      <c r="I47" s="104">
        <v>0</v>
      </c>
      <c r="J47" s="104">
        <v>0</v>
      </c>
      <c r="K47" s="171">
        <v>0</v>
      </c>
      <c r="L47" s="172">
        <v>1.46</v>
      </c>
      <c r="M47" s="173">
        <v>1.43</v>
      </c>
      <c r="N47" s="104">
        <v>1559</v>
      </c>
      <c r="O47" s="104">
        <v>1591</v>
      </c>
      <c r="P47" s="104">
        <v>89</v>
      </c>
      <c r="Q47" s="174">
        <v>306.53399999999999</v>
      </c>
      <c r="R47" s="175">
        <v>200</v>
      </c>
      <c r="S47" s="176">
        <v>2</v>
      </c>
      <c r="T47" s="182">
        <v>0</v>
      </c>
      <c r="U47" s="207">
        <v>0</v>
      </c>
      <c r="V47" s="210">
        <v>23739.63</v>
      </c>
      <c r="W47" s="182">
        <v>100282.44999999998</v>
      </c>
      <c r="X47" s="207">
        <v>0</v>
      </c>
      <c r="Y47" s="207">
        <v>20469.099999999999</v>
      </c>
      <c r="Z47" s="210">
        <v>0</v>
      </c>
      <c r="AA47" s="181">
        <v>41517.200000000004</v>
      </c>
      <c r="AB47" s="207">
        <v>2073.2051148250189</v>
      </c>
      <c r="AC47" s="207">
        <v>42.060893735300404</v>
      </c>
      <c r="AD47" s="207">
        <v>24.275817831943552</v>
      </c>
      <c r="AE47" s="207">
        <v>114.06291157988267</v>
      </c>
      <c r="AF47" s="207">
        <v>126.10989950823178</v>
      </c>
      <c r="AG47" s="207">
        <v>77.398032927090014</v>
      </c>
      <c r="AH47" s="181">
        <v>2457.1126704074672</v>
      </c>
      <c r="AI47" s="207">
        <v>2052.002871525136</v>
      </c>
      <c r="AJ47" s="207">
        <v>49.19652210349885</v>
      </c>
      <c r="AK47" s="207">
        <v>31.301634192331864</v>
      </c>
      <c r="AL47" s="207">
        <v>114.08726219589289</v>
      </c>
      <c r="AM47" s="207">
        <v>74.706159648020119</v>
      </c>
      <c r="AN47" s="207">
        <v>280.49281374397657</v>
      </c>
      <c r="AO47" s="181">
        <v>2601.7872634088562</v>
      </c>
      <c r="AP47" s="177">
        <v>2062.6039931750774</v>
      </c>
      <c r="AQ47" s="178">
        <v>45.628707919399631</v>
      </c>
      <c r="AR47" s="179">
        <v>27.788726012137708</v>
      </c>
      <c r="AS47" s="179">
        <v>114.07508688788778</v>
      </c>
      <c r="AT47" s="178">
        <v>100.40802957812595</v>
      </c>
      <c r="AU47" s="180">
        <v>178.94542333553329</v>
      </c>
      <c r="AV47" s="181">
        <v>2529.449966908162</v>
      </c>
      <c r="AW47" s="182">
        <v>2298.3786631301355</v>
      </c>
      <c r="AX47" s="183">
        <v>0.94499999999999995</v>
      </c>
      <c r="AY47" s="184">
        <v>-0.32917810679944898</v>
      </c>
      <c r="AZ47" s="182">
        <v>1373.9</v>
      </c>
      <c r="BA47" s="178">
        <v>11606.50554833541</v>
      </c>
      <c r="BB47" s="178">
        <v>7150</v>
      </c>
      <c r="BC47" s="180">
        <v>210</v>
      </c>
      <c r="BD47" s="185"/>
    </row>
    <row r="48" spans="1:56" x14ac:dyDescent="0.2">
      <c r="A48" s="148">
        <v>44</v>
      </c>
      <c r="B48" s="149" t="s">
        <v>73</v>
      </c>
      <c r="C48" s="150">
        <v>1613000</v>
      </c>
      <c r="D48" s="151">
        <v>229100</v>
      </c>
      <c r="E48" s="151">
        <v>37600</v>
      </c>
      <c r="F48" s="151">
        <v>64300</v>
      </c>
      <c r="G48" s="152"/>
      <c r="H48" s="152"/>
      <c r="I48" s="151">
        <v>0</v>
      </c>
      <c r="J48" s="151">
        <v>0</v>
      </c>
      <c r="K48" s="153">
        <v>0</v>
      </c>
      <c r="L48" s="154">
        <v>1.4</v>
      </c>
      <c r="M48" s="155">
        <v>1.4</v>
      </c>
      <c r="N48" s="151">
        <v>3595</v>
      </c>
      <c r="O48" s="151">
        <v>3620</v>
      </c>
      <c r="P48" s="151">
        <v>125</v>
      </c>
      <c r="Q48" s="156">
        <v>1084.402</v>
      </c>
      <c r="R48" s="157">
        <v>419</v>
      </c>
      <c r="S48" s="158">
        <v>13</v>
      </c>
      <c r="T48" s="164">
        <v>213294.85</v>
      </c>
      <c r="U48" s="208">
        <v>930.5</v>
      </c>
      <c r="V48" s="209">
        <v>8149.5</v>
      </c>
      <c r="W48" s="164">
        <v>512270.49</v>
      </c>
      <c r="X48" s="208">
        <v>0</v>
      </c>
      <c r="Y48" s="208">
        <v>114828.9</v>
      </c>
      <c r="Z48" s="209">
        <v>3565</v>
      </c>
      <c r="AA48" s="163">
        <v>124551.6</v>
      </c>
      <c r="AB48" s="208">
        <v>1392.7376109594297</v>
      </c>
      <c r="AC48" s="208">
        <v>42.425025498377373</v>
      </c>
      <c r="AD48" s="208">
        <v>103.4200927213723</v>
      </c>
      <c r="AE48" s="208">
        <v>85.137349850466038</v>
      </c>
      <c r="AF48" s="208">
        <v>105.97811775614278</v>
      </c>
      <c r="AG48" s="208">
        <v>100.30229949003245</v>
      </c>
      <c r="AH48" s="163">
        <v>1830.000496275821</v>
      </c>
      <c r="AI48" s="208">
        <v>1486.5464124375317</v>
      </c>
      <c r="AJ48" s="208">
        <v>47.466620626151013</v>
      </c>
      <c r="AK48" s="208">
        <v>140.393241252302</v>
      </c>
      <c r="AL48" s="208">
        <v>89.450773664751665</v>
      </c>
      <c r="AM48" s="208">
        <v>51.072044198895036</v>
      </c>
      <c r="AN48" s="208">
        <v>65.718959484346229</v>
      </c>
      <c r="AO48" s="163">
        <v>1880.6480516639779</v>
      </c>
      <c r="AP48" s="159">
        <v>1439.6420116984807</v>
      </c>
      <c r="AQ48" s="160">
        <v>44.945823062264196</v>
      </c>
      <c r="AR48" s="161">
        <v>121.90666698683715</v>
      </c>
      <c r="AS48" s="161">
        <v>87.294061757608858</v>
      </c>
      <c r="AT48" s="160">
        <v>78.525080977518911</v>
      </c>
      <c r="AU48" s="162">
        <v>83.010629487189334</v>
      </c>
      <c r="AV48" s="163">
        <v>1855.3242739698992</v>
      </c>
      <c r="AW48" s="164">
        <v>2298.3786631301355</v>
      </c>
      <c r="AX48" s="165">
        <v>0.94499999999999995</v>
      </c>
      <c r="AY48" s="166">
        <v>0</v>
      </c>
      <c r="AZ48" s="164">
        <v>1373.9</v>
      </c>
      <c r="BA48" s="160">
        <v>11606.50554833541</v>
      </c>
      <c r="BB48" s="160">
        <v>7150</v>
      </c>
      <c r="BC48" s="162">
        <v>210</v>
      </c>
      <c r="BD48" s="167"/>
    </row>
    <row r="49" spans="1:56" x14ac:dyDescent="0.2">
      <c r="A49" s="168">
        <v>45</v>
      </c>
      <c r="B49" s="169" t="s">
        <v>74</v>
      </c>
      <c r="C49" s="170">
        <v>1613300</v>
      </c>
      <c r="D49" s="104">
        <v>95400</v>
      </c>
      <c r="E49" s="104">
        <v>946200</v>
      </c>
      <c r="F49" s="104">
        <v>13400</v>
      </c>
      <c r="I49" s="104">
        <v>0</v>
      </c>
      <c r="J49" s="104">
        <v>0</v>
      </c>
      <c r="K49" s="171">
        <v>0</v>
      </c>
      <c r="L49" s="172">
        <v>1.44</v>
      </c>
      <c r="M49" s="173">
        <v>1.44</v>
      </c>
      <c r="N49" s="104">
        <v>2697</v>
      </c>
      <c r="O49" s="104">
        <v>2787</v>
      </c>
      <c r="P49" s="104">
        <v>82</v>
      </c>
      <c r="Q49" s="174">
        <v>775.97400000000016</v>
      </c>
      <c r="R49" s="175">
        <v>401</v>
      </c>
      <c r="S49" s="176">
        <v>11</v>
      </c>
      <c r="T49" s="182">
        <v>0</v>
      </c>
      <c r="U49" s="207">
        <v>13682.2</v>
      </c>
      <c r="V49" s="210">
        <v>0</v>
      </c>
      <c r="W49" s="182">
        <v>92985.9</v>
      </c>
      <c r="X49" s="207">
        <v>0</v>
      </c>
      <c r="Y49" s="207">
        <v>89593.7</v>
      </c>
      <c r="Z49" s="210">
        <v>2681</v>
      </c>
      <c r="AA49" s="181">
        <v>108982.65</v>
      </c>
      <c r="AB49" s="207">
        <v>1356.1792606732449</v>
      </c>
      <c r="AC49" s="207">
        <v>19.985737238907429</v>
      </c>
      <c r="AD49" s="207">
        <v>104.28023730070448</v>
      </c>
      <c r="AE49" s="207">
        <v>89.355292746739821</v>
      </c>
      <c r="AF49" s="207">
        <v>112.19315288592263</v>
      </c>
      <c r="AG49" s="207">
        <v>22.596082066493636</v>
      </c>
      <c r="AH49" s="181">
        <v>1704.5897629120132</v>
      </c>
      <c r="AI49" s="207">
        <v>1490.105082260729</v>
      </c>
      <c r="AJ49" s="207">
        <v>28.021528525296016</v>
      </c>
      <c r="AK49" s="207">
        <v>93.555627317306545</v>
      </c>
      <c r="AL49" s="207">
        <v>82.68334403002973</v>
      </c>
      <c r="AM49" s="207">
        <v>83.305717019495276</v>
      </c>
      <c r="AN49" s="207">
        <v>36.688565961009445</v>
      </c>
      <c r="AO49" s="181">
        <v>1814.3598651138659</v>
      </c>
      <c r="AP49" s="177">
        <v>1423.1421714669868</v>
      </c>
      <c r="AQ49" s="178">
        <v>24.003632882101723</v>
      </c>
      <c r="AR49" s="179">
        <v>98.917932309005522</v>
      </c>
      <c r="AS49" s="179">
        <v>86.019318388384775</v>
      </c>
      <c r="AT49" s="178">
        <v>97.749434952708953</v>
      </c>
      <c r="AU49" s="180">
        <v>29.642324013751541</v>
      </c>
      <c r="AV49" s="181">
        <v>1759.4748140129393</v>
      </c>
      <c r="AW49" s="182">
        <v>2298.3786631301355</v>
      </c>
      <c r="AX49" s="183">
        <v>0.94499999999999995</v>
      </c>
      <c r="AY49" s="184">
        <v>0</v>
      </c>
      <c r="AZ49" s="182">
        <v>1373.9</v>
      </c>
      <c r="BA49" s="178">
        <v>11606.50554833541</v>
      </c>
      <c r="BB49" s="178">
        <v>7150</v>
      </c>
      <c r="BC49" s="180">
        <v>210</v>
      </c>
      <c r="BD49" s="185"/>
    </row>
    <row r="50" spans="1:56" x14ac:dyDescent="0.2">
      <c r="A50" s="148">
        <v>46</v>
      </c>
      <c r="B50" s="149" t="s">
        <v>75</v>
      </c>
      <c r="C50" s="150">
        <v>2392200</v>
      </c>
      <c r="D50" s="151">
        <v>0</v>
      </c>
      <c r="E50" s="151">
        <v>921300</v>
      </c>
      <c r="F50" s="151">
        <v>0</v>
      </c>
      <c r="G50" s="152"/>
      <c r="H50" s="152"/>
      <c r="I50" s="151">
        <v>0</v>
      </c>
      <c r="J50" s="151">
        <v>0</v>
      </c>
      <c r="K50" s="153">
        <v>0</v>
      </c>
      <c r="L50" s="154">
        <v>1.34</v>
      </c>
      <c r="M50" s="155">
        <v>1.24</v>
      </c>
      <c r="N50" s="151">
        <v>4426</v>
      </c>
      <c r="O50" s="151">
        <v>4546</v>
      </c>
      <c r="P50" s="151">
        <v>140</v>
      </c>
      <c r="Q50" s="156">
        <v>953.75800000000015</v>
      </c>
      <c r="R50" s="157">
        <v>598</v>
      </c>
      <c r="S50" s="158">
        <v>22</v>
      </c>
      <c r="T50" s="164">
        <v>0</v>
      </c>
      <c r="U50" s="208">
        <v>0</v>
      </c>
      <c r="V50" s="209">
        <v>6746.25</v>
      </c>
      <c r="W50" s="164">
        <v>337524.65</v>
      </c>
      <c r="X50" s="208">
        <v>4882.2</v>
      </c>
      <c r="Y50" s="208">
        <v>71090.850000000006</v>
      </c>
      <c r="Z50" s="209">
        <v>21001</v>
      </c>
      <c r="AA50" s="163">
        <v>140120.54999999999</v>
      </c>
      <c r="AB50" s="208">
        <v>1444.7417823936646</v>
      </c>
      <c r="AC50" s="208">
        <v>43.646015966259974</v>
      </c>
      <c r="AD50" s="208">
        <v>59.500052718782953</v>
      </c>
      <c r="AE50" s="208">
        <v>70.503924282925126</v>
      </c>
      <c r="AF50" s="208">
        <v>73.483265552040976</v>
      </c>
      <c r="AG50" s="208">
        <v>85.608939599337248</v>
      </c>
      <c r="AH50" s="163">
        <v>1777.4839805130107</v>
      </c>
      <c r="AI50" s="208">
        <v>1483.9841808359918</v>
      </c>
      <c r="AJ50" s="208">
        <v>41.298914796891047</v>
      </c>
      <c r="AK50" s="208">
        <v>74.986332306789848</v>
      </c>
      <c r="AL50" s="208">
        <v>75.10765471223597</v>
      </c>
      <c r="AM50" s="208">
        <v>61.63144156034609</v>
      </c>
      <c r="AN50" s="208">
        <v>14.035313095761841</v>
      </c>
      <c r="AO50" s="163">
        <v>1751.0438373080165</v>
      </c>
      <c r="AP50" s="159">
        <v>1464.3629816148282</v>
      </c>
      <c r="AQ50" s="160">
        <v>42.47246538157551</v>
      </c>
      <c r="AR50" s="161">
        <v>67.243192512786408</v>
      </c>
      <c r="AS50" s="161">
        <v>72.805789497580548</v>
      </c>
      <c r="AT50" s="160">
        <v>67.557353556193533</v>
      </c>
      <c r="AU50" s="162">
        <v>49.822126347549542</v>
      </c>
      <c r="AV50" s="163">
        <v>1764.2639089105137</v>
      </c>
      <c r="AW50" s="164">
        <v>2298.3786631301355</v>
      </c>
      <c r="AX50" s="165">
        <v>0.94499999999999995</v>
      </c>
      <c r="AY50" s="166">
        <v>0</v>
      </c>
      <c r="AZ50" s="164">
        <v>1373.9</v>
      </c>
      <c r="BA50" s="160">
        <v>11606.50554833541</v>
      </c>
      <c r="BB50" s="160">
        <v>7150</v>
      </c>
      <c r="BC50" s="162">
        <v>210</v>
      </c>
      <c r="BD50" s="167"/>
    </row>
    <row r="51" spans="1:56" x14ac:dyDescent="0.2">
      <c r="A51" s="168">
        <v>48</v>
      </c>
      <c r="B51" s="169" t="s">
        <v>76</v>
      </c>
      <c r="C51" s="170">
        <v>691800</v>
      </c>
      <c r="D51" s="104">
        <v>123800</v>
      </c>
      <c r="E51" s="104">
        <v>1025700</v>
      </c>
      <c r="F51" s="104">
        <v>0</v>
      </c>
      <c r="I51" s="104">
        <v>0</v>
      </c>
      <c r="J51" s="104">
        <v>0</v>
      </c>
      <c r="K51" s="171">
        <v>0</v>
      </c>
      <c r="L51" s="172">
        <v>1.3792</v>
      </c>
      <c r="M51" s="173">
        <v>1.4191</v>
      </c>
      <c r="N51" s="104">
        <v>4903</v>
      </c>
      <c r="O51" s="104">
        <v>4896</v>
      </c>
      <c r="P51" s="104">
        <v>199</v>
      </c>
      <c r="Q51" s="174">
        <v>1331.2095999999999</v>
      </c>
      <c r="R51" s="175">
        <v>653</v>
      </c>
      <c r="S51" s="176">
        <v>5</v>
      </c>
      <c r="T51" s="182">
        <v>0</v>
      </c>
      <c r="U51" s="207">
        <v>0</v>
      </c>
      <c r="V51" s="210">
        <v>6142.5</v>
      </c>
      <c r="W51" s="182">
        <v>484226.76</v>
      </c>
      <c r="X51" s="207">
        <v>0</v>
      </c>
      <c r="Y51" s="207">
        <v>41518.75</v>
      </c>
      <c r="Z51" s="210">
        <v>18057.5</v>
      </c>
      <c r="AA51" s="181">
        <v>119361.95000000001</v>
      </c>
      <c r="AB51" s="207">
        <v>1688.5560909816506</v>
      </c>
      <c r="AC51" s="207">
        <v>35.814215786253307</v>
      </c>
      <c r="AD51" s="207">
        <v>31.44349717859814</v>
      </c>
      <c r="AE51" s="207">
        <v>103.27264576054569</v>
      </c>
      <c r="AF51" s="207">
        <v>57.824780746481736</v>
      </c>
      <c r="AG51" s="207">
        <v>97.228125637364869</v>
      </c>
      <c r="AH51" s="181">
        <v>2014.1393560908944</v>
      </c>
      <c r="AI51" s="207">
        <v>1747.8994770404986</v>
      </c>
      <c r="AJ51" s="207">
        <v>37.359586056644886</v>
      </c>
      <c r="AK51" s="207">
        <v>35.936322167755996</v>
      </c>
      <c r="AL51" s="207">
        <v>107.4334822752365</v>
      </c>
      <c r="AM51" s="207">
        <v>72.983067810457527</v>
      </c>
      <c r="AN51" s="207">
        <v>126.34919662309368</v>
      </c>
      <c r="AO51" s="181">
        <v>2127.9611319736873</v>
      </c>
      <c r="AP51" s="177">
        <v>1718.2277840110746</v>
      </c>
      <c r="AQ51" s="178">
        <v>36.5869009214491</v>
      </c>
      <c r="AR51" s="179">
        <v>33.68990967317707</v>
      </c>
      <c r="AS51" s="179">
        <v>105.35306401789109</v>
      </c>
      <c r="AT51" s="178">
        <v>65.403924278469631</v>
      </c>
      <c r="AU51" s="180">
        <v>111.78866113022927</v>
      </c>
      <c r="AV51" s="181">
        <v>2071.0502440322907</v>
      </c>
      <c r="AW51" s="182">
        <v>2298.3786631301355</v>
      </c>
      <c r="AX51" s="183">
        <v>0.94499999999999995</v>
      </c>
      <c r="AY51" s="184">
        <v>0</v>
      </c>
      <c r="AZ51" s="182">
        <v>1373.9</v>
      </c>
      <c r="BA51" s="178">
        <v>11606.50554833541</v>
      </c>
      <c r="BB51" s="178">
        <v>7150</v>
      </c>
      <c r="BC51" s="180">
        <v>210</v>
      </c>
      <c r="BD51" s="185"/>
    </row>
    <row r="52" spans="1:56" x14ac:dyDescent="0.2">
      <c r="A52" s="148">
        <v>50</v>
      </c>
      <c r="B52" s="149" t="s">
        <v>77</v>
      </c>
      <c r="C52" s="150">
        <v>178300</v>
      </c>
      <c r="D52" s="151">
        <v>0</v>
      </c>
      <c r="E52" s="151">
        <v>1606400</v>
      </c>
      <c r="F52" s="151">
        <v>137300</v>
      </c>
      <c r="G52" s="152"/>
      <c r="H52" s="152"/>
      <c r="I52" s="151">
        <v>0</v>
      </c>
      <c r="J52" s="151">
        <v>0</v>
      </c>
      <c r="K52" s="153">
        <v>0</v>
      </c>
      <c r="L52" s="154">
        <v>1.52</v>
      </c>
      <c r="M52" s="155">
        <v>1.52</v>
      </c>
      <c r="N52" s="151">
        <v>5911</v>
      </c>
      <c r="O52" s="151">
        <v>5998</v>
      </c>
      <c r="P52" s="151">
        <v>235</v>
      </c>
      <c r="Q52" s="156">
        <v>872.81299999999987</v>
      </c>
      <c r="R52" s="157">
        <v>827</v>
      </c>
      <c r="S52" s="158">
        <v>22</v>
      </c>
      <c r="T52" s="164">
        <v>51606</v>
      </c>
      <c r="U52" s="208">
        <v>23131</v>
      </c>
      <c r="V52" s="209">
        <v>41464.699999999997</v>
      </c>
      <c r="W52" s="164">
        <v>1131884.47</v>
      </c>
      <c r="X52" s="208">
        <v>44102.8</v>
      </c>
      <c r="Y52" s="208">
        <v>96051.4</v>
      </c>
      <c r="Z52" s="209">
        <v>0</v>
      </c>
      <c r="AA52" s="163">
        <v>160879.15000000002</v>
      </c>
      <c r="AB52" s="208">
        <v>1714.5280272183111</v>
      </c>
      <c r="AC52" s="208">
        <v>39.737963119607521</v>
      </c>
      <c r="AD52" s="208">
        <v>199.08674787120057</v>
      </c>
      <c r="AE52" s="208">
        <v>92.990532517974756</v>
      </c>
      <c r="AF52" s="208">
        <v>58.672559634579599</v>
      </c>
      <c r="AG52" s="208">
        <v>49.613816049173856</v>
      </c>
      <c r="AH52" s="163">
        <v>2154.6296464108473</v>
      </c>
      <c r="AI52" s="208">
        <v>1686.7768247795575</v>
      </c>
      <c r="AJ52" s="208">
        <v>47.785372902078457</v>
      </c>
      <c r="AK52" s="208">
        <v>179.63438924085807</v>
      </c>
      <c r="AL52" s="208">
        <v>96.097855486860638</v>
      </c>
      <c r="AM52" s="208">
        <v>74.00459597643659</v>
      </c>
      <c r="AN52" s="208">
        <v>65.236878959653225</v>
      </c>
      <c r="AO52" s="163">
        <v>2149.5359173454444</v>
      </c>
      <c r="AP52" s="159">
        <v>1700.6524259989342</v>
      </c>
      <c r="AQ52" s="160">
        <v>43.761668010842989</v>
      </c>
      <c r="AR52" s="161">
        <v>189.36056855602931</v>
      </c>
      <c r="AS52" s="161">
        <v>94.544194002417697</v>
      </c>
      <c r="AT52" s="160">
        <v>66.338577805508095</v>
      </c>
      <c r="AU52" s="162">
        <v>57.425347504413537</v>
      </c>
      <c r="AV52" s="163">
        <v>2152.0827818781459</v>
      </c>
      <c r="AW52" s="164">
        <v>2298.3786631301355</v>
      </c>
      <c r="AX52" s="165">
        <v>0.94499999999999995</v>
      </c>
      <c r="AY52" s="166">
        <v>0</v>
      </c>
      <c r="AZ52" s="164">
        <v>1373.9</v>
      </c>
      <c r="BA52" s="160">
        <v>11606.50554833541</v>
      </c>
      <c r="BB52" s="160">
        <v>7150</v>
      </c>
      <c r="BC52" s="162">
        <v>210</v>
      </c>
      <c r="BD52" s="167"/>
    </row>
    <row r="53" spans="1:56" x14ac:dyDescent="0.2">
      <c r="A53" s="168">
        <v>51</v>
      </c>
      <c r="B53" s="169" t="s">
        <v>78</v>
      </c>
      <c r="C53" s="170">
        <v>0</v>
      </c>
      <c r="D53" s="104">
        <v>0</v>
      </c>
      <c r="E53" s="104">
        <v>0</v>
      </c>
      <c r="F53" s="104">
        <v>35400</v>
      </c>
      <c r="I53" s="104">
        <v>0</v>
      </c>
      <c r="J53" s="104">
        <v>0</v>
      </c>
      <c r="K53" s="171">
        <v>0</v>
      </c>
      <c r="L53" s="172">
        <v>1.44</v>
      </c>
      <c r="M53" s="173">
        <v>1.44</v>
      </c>
      <c r="N53" s="104">
        <v>3456</v>
      </c>
      <c r="O53" s="104">
        <v>3422</v>
      </c>
      <c r="P53" s="104">
        <v>141</v>
      </c>
      <c r="Q53" s="174">
        <v>542.88499999999988</v>
      </c>
      <c r="R53" s="175">
        <v>383</v>
      </c>
      <c r="S53" s="176">
        <v>6</v>
      </c>
      <c r="T53" s="182">
        <v>0</v>
      </c>
      <c r="U53" s="207">
        <v>53855.9</v>
      </c>
      <c r="V53" s="210">
        <v>21457.85</v>
      </c>
      <c r="W53" s="182">
        <v>355708.1</v>
      </c>
      <c r="X53" s="207">
        <v>0</v>
      </c>
      <c r="Y53" s="207">
        <v>18857.599999999999</v>
      </c>
      <c r="Z53" s="210">
        <v>3438</v>
      </c>
      <c r="AA53" s="181">
        <v>145310.20000000001</v>
      </c>
      <c r="AB53" s="207">
        <v>1944.9672598991315</v>
      </c>
      <c r="AC53" s="207">
        <v>48.712712191358015</v>
      </c>
      <c r="AD53" s="207">
        <v>80.706722608024691</v>
      </c>
      <c r="AE53" s="207">
        <v>100.73447229047864</v>
      </c>
      <c r="AF53" s="207">
        <v>85.740933641975317</v>
      </c>
      <c r="AG53" s="207">
        <v>104.70959683641975</v>
      </c>
      <c r="AH53" s="181">
        <v>2365.5716974673878</v>
      </c>
      <c r="AI53" s="207">
        <v>1957.1451226782428</v>
      </c>
      <c r="AJ53" s="207">
        <v>50.697214104811998</v>
      </c>
      <c r="AK53" s="207">
        <v>122.0532144944477</v>
      </c>
      <c r="AL53" s="207">
        <v>106.57709592980078</v>
      </c>
      <c r="AM53" s="207">
        <v>68.011835184102864</v>
      </c>
      <c r="AN53" s="207">
        <v>97.366471848821348</v>
      </c>
      <c r="AO53" s="181">
        <v>2401.8509542402271</v>
      </c>
      <c r="AP53" s="177">
        <v>1951.0561912886872</v>
      </c>
      <c r="AQ53" s="178">
        <v>49.704963148085007</v>
      </c>
      <c r="AR53" s="179">
        <v>101.3799685512362</v>
      </c>
      <c r="AS53" s="179">
        <v>103.65578411013971</v>
      </c>
      <c r="AT53" s="178">
        <v>76.876384413039091</v>
      </c>
      <c r="AU53" s="180">
        <v>101.03803434262055</v>
      </c>
      <c r="AV53" s="181">
        <v>2383.7113258538075</v>
      </c>
      <c r="AW53" s="182">
        <v>2298.3786631301355</v>
      </c>
      <c r="AX53" s="183">
        <v>0.94499999999999995</v>
      </c>
      <c r="AY53" s="184">
        <v>-0.1949784758522399</v>
      </c>
      <c r="AZ53" s="182">
        <v>1373.9</v>
      </c>
      <c r="BA53" s="178">
        <v>11606.50554833541</v>
      </c>
      <c r="BB53" s="178">
        <v>7150</v>
      </c>
      <c r="BC53" s="180">
        <v>210</v>
      </c>
      <c r="BD53" s="185"/>
    </row>
    <row r="54" spans="1:56" x14ac:dyDescent="0.2">
      <c r="A54" s="148">
        <v>52</v>
      </c>
      <c r="B54" s="149" t="s">
        <v>79</v>
      </c>
      <c r="C54" s="150">
        <v>0</v>
      </c>
      <c r="D54" s="151">
        <v>0</v>
      </c>
      <c r="E54" s="151">
        <v>0</v>
      </c>
      <c r="F54" s="151">
        <v>9200</v>
      </c>
      <c r="G54" s="152"/>
      <c r="H54" s="152"/>
      <c r="I54" s="151">
        <v>0</v>
      </c>
      <c r="J54" s="151">
        <v>0</v>
      </c>
      <c r="K54" s="153">
        <v>0</v>
      </c>
      <c r="L54" s="154">
        <v>0.92</v>
      </c>
      <c r="M54" s="155">
        <v>0.92</v>
      </c>
      <c r="N54" s="151">
        <v>26273</v>
      </c>
      <c r="O54" s="151">
        <v>26354</v>
      </c>
      <c r="P54" s="151">
        <v>1222</v>
      </c>
      <c r="Q54" s="156">
        <v>2655.6370000000002</v>
      </c>
      <c r="R54" s="157">
        <v>2840</v>
      </c>
      <c r="S54" s="158">
        <v>56</v>
      </c>
      <c r="T54" s="164">
        <v>356386.6</v>
      </c>
      <c r="U54" s="208">
        <v>27660</v>
      </c>
      <c r="V54" s="209">
        <v>63271.4</v>
      </c>
      <c r="W54" s="164">
        <v>2486714</v>
      </c>
      <c r="X54" s="208">
        <v>69048.899999999994</v>
      </c>
      <c r="Y54" s="208">
        <v>286020.75</v>
      </c>
      <c r="Z54" s="209">
        <v>30730.7</v>
      </c>
      <c r="AA54" s="163">
        <v>731740.6</v>
      </c>
      <c r="AB54" s="208">
        <v>2824.0494391281154</v>
      </c>
      <c r="AC54" s="208">
        <v>53.158213121201733</v>
      </c>
      <c r="AD54" s="208">
        <v>287.3633261015745</v>
      </c>
      <c r="AE54" s="208">
        <v>115.66599188549571</v>
      </c>
      <c r="AF54" s="208">
        <v>54.506096245829056</v>
      </c>
      <c r="AG54" s="208">
        <v>105.73202400436443</v>
      </c>
      <c r="AH54" s="163">
        <v>3440.4750904865809</v>
      </c>
      <c r="AI54" s="208">
        <v>2922.9253444673695</v>
      </c>
      <c r="AJ54" s="208">
        <v>51.129206192608343</v>
      </c>
      <c r="AK54" s="208">
        <v>332.28111608610965</v>
      </c>
      <c r="AL54" s="208">
        <v>120.56883727767647</v>
      </c>
      <c r="AM54" s="208">
        <v>71.049903872909866</v>
      </c>
      <c r="AN54" s="208">
        <v>79.662993599959535</v>
      </c>
      <c r="AO54" s="163">
        <v>3577.6174014966332</v>
      </c>
      <c r="AP54" s="159">
        <v>2873.4873917977425</v>
      </c>
      <c r="AQ54" s="160">
        <v>52.143709656905038</v>
      </c>
      <c r="AR54" s="161">
        <v>309.82222109384207</v>
      </c>
      <c r="AS54" s="161">
        <v>118.11741458158609</v>
      </c>
      <c r="AT54" s="160">
        <v>62.778000059369461</v>
      </c>
      <c r="AU54" s="162">
        <v>92.697508802161991</v>
      </c>
      <c r="AV54" s="163">
        <v>3509.0462459916071</v>
      </c>
      <c r="AW54" s="164">
        <v>2298.3786631301355</v>
      </c>
      <c r="AX54" s="165">
        <v>0.94499999999999995</v>
      </c>
      <c r="AY54" s="166">
        <v>-1</v>
      </c>
      <c r="AZ54" s="164">
        <v>1373.9</v>
      </c>
      <c r="BA54" s="160">
        <v>11606.50554833541</v>
      </c>
      <c r="BB54" s="160">
        <v>7150</v>
      </c>
      <c r="BC54" s="162">
        <v>210</v>
      </c>
      <c r="BD54" s="167"/>
    </row>
    <row r="55" spans="1:56" x14ac:dyDescent="0.2">
      <c r="A55" s="168">
        <v>54</v>
      </c>
      <c r="B55" s="169" t="s">
        <v>80</v>
      </c>
      <c r="C55" s="170">
        <v>2307000</v>
      </c>
      <c r="D55" s="104">
        <v>1614400</v>
      </c>
      <c r="E55" s="104">
        <v>1947100</v>
      </c>
      <c r="F55" s="104">
        <v>0</v>
      </c>
      <c r="I55" s="104">
        <v>0</v>
      </c>
      <c r="J55" s="104">
        <v>0</v>
      </c>
      <c r="K55" s="171">
        <v>0</v>
      </c>
      <c r="L55" s="172">
        <v>1.4626999999999999</v>
      </c>
      <c r="M55" s="173">
        <v>1.4510000000000001</v>
      </c>
      <c r="N55" s="104">
        <v>8607</v>
      </c>
      <c r="O55" s="104">
        <v>8760</v>
      </c>
      <c r="P55" s="104">
        <v>309</v>
      </c>
      <c r="Q55" s="174">
        <v>3395.7060000000001</v>
      </c>
      <c r="R55" s="175">
        <v>1178</v>
      </c>
      <c r="S55" s="176">
        <v>23</v>
      </c>
      <c r="T55" s="182">
        <v>220789.5</v>
      </c>
      <c r="U55" s="207">
        <v>0</v>
      </c>
      <c r="V55" s="210">
        <v>26093.75</v>
      </c>
      <c r="W55" s="182">
        <v>622783.75</v>
      </c>
      <c r="X55" s="207">
        <v>4687.2</v>
      </c>
      <c r="Y55" s="207">
        <v>126766.7</v>
      </c>
      <c r="Z55" s="210">
        <v>40686</v>
      </c>
      <c r="AA55" s="181">
        <v>259482.50000000003</v>
      </c>
      <c r="AB55" s="207">
        <v>1588.4442933671185</v>
      </c>
      <c r="AC55" s="207">
        <v>51.144390225010653</v>
      </c>
      <c r="AD55" s="207">
        <v>95.042407342860457</v>
      </c>
      <c r="AE55" s="207">
        <v>89.081677998468166</v>
      </c>
      <c r="AF55" s="207">
        <v>58.294845280972851</v>
      </c>
      <c r="AG55" s="207">
        <v>41.417280508113556</v>
      </c>
      <c r="AH55" s="181">
        <v>1923.4248947225444</v>
      </c>
      <c r="AI55" s="207">
        <v>1640.8378881508665</v>
      </c>
      <c r="AJ55" s="207">
        <v>49.61715753424658</v>
      </c>
      <c r="AK55" s="207">
        <v>97.525258751902584</v>
      </c>
      <c r="AL55" s="207">
        <v>91.920182179180685</v>
      </c>
      <c r="AM55" s="207">
        <v>83.811057838660588</v>
      </c>
      <c r="AN55" s="207">
        <v>83.003405631659064</v>
      </c>
      <c r="AO55" s="181">
        <v>2046.7149500865162</v>
      </c>
      <c r="AP55" s="177">
        <v>1614.6410907589925</v>
      </c>
      <c r="AQ55" s="178">
        <v>50.38077387962862</v>
      </c>
      <c r="AR55" s="179">
        <v>96.28383304738152</v>
      </c>
      <c r="AS55" s="179">
        <v>90.500930088824418</v>
      </c>
      <c r="AT55" s="178">
        <v>71.052951559816719</v>
      </c>
      <c r="AU55" s="180">
        <v>62.210343069886306</v>
      </c>
      <c r="AV55" s="181">
        <v>1985.0699224045297</v>
      </c>
      <c r="AW55" s="182">
        <v>2298.3786631301355</v>
      </c>
      <c r="AX55" s="183">
        <v>0.94499999999999995</v>
      </c>
      <c r="AY55" s="184">
        <v>0</v>
      </c>
      <c r="AZ55" s="182">
        <v>1373.9</v>
      </c>
      <c r="BA55" s="178">
        <v>11606.50554833541</v>
      </c>
      <c r="BB55" s="178">
        <v>7150</v>
      </c>
      <c r="BC55" s="180">
        <v>210</v>
      </c>
      <c r="BD55" s="185"/>
    </row>
    <row r="56" spans="1:56" x14ac:dyDescent="0.2">
      <c r="A56" s="148">
        <v>57</v>
      </c>
      <c r="B56" s="149" t="s">
        <v>81</v>
      </c>
      <c r="C56" s="150">
        <v>568100</v>
      </c>
      <c r="D56" s="151">
        <v>1912700</v>
      </c>
      <c r="E56" s="151">
        <v>42300</v>
      </c>
      <c r="F56" s="151">
        <v>18800</v>
      </c>
      <c r="G56" s="152"/>
      <c r="H56" s="152"/>
      <c r="I56" s="151">
        <v>0</v>
      </c>
      <c r="J56" s="151">
        <v>0</v>
      </c>
      <c r="K56" s="153">
        <v>0</v>
      </c>
      <c r="L56" s="154">
        <v>1.48</v>
      </c>
      <c r="M56" s="155">
        <v>1.48</v>
      </c>
      <c r="N56" s="151">
        <v>2604</v>
      </c>
      <c r="O56" s="151">
        <v>2642</v>
      </c>
      <c r="P56" s="151">
        <v>142</v>
      </c>
      <c r="Q56" s="156">
        <v>2061.9035999999996</v>
      </c>
      <c r="R56" s="157">
        <v>308</v>
      </c>
      <c r="S56" s="158">
        <v>8</v>
      </c>
      <c r="T56" s="164">
        <v>0</v>
      </c>
      <c r="U56" s="208">
        <v>52373</v>
      </c>
      <c r="V56" s="209">
        <v>59524.6</v>
      </c>
      <c r="W56" s="164">
        <v>303249.55</v>
      </c>
      <c r="X56" s="208">
        <v>0</v>
      </c>
      <c r="Y56" s="208">
        <v>33687</v>
      </c>
      <c r="Z56" s="209">
        <v>2586</v>
      </c>
      <c r="AA56" s="163">
        <v>83034.400000000009</v>
      </c>
      <c r="AB56" s="208">
        <v>1631.2385447719846</v>
      </c>
      <c r="AC56" s="208">
        <v>53.213415258576553</v>
      </c>
      <c r="AD56" s="208">
        <v>60.486277521761394</v>
      </c>
      <c r="AE56" s="208">
        <v>153.39272726998584</v>
      </c>
      <c r="AF56" s="208">
        <v>80.322734254992312</v>
      </c>
      <c r="AG56" s="208">
        <v>74.389400921658989</v>
      </c>
      <c r="AH56" s="163">
        <v>2053.0430999989599</v>
      </c>
      <c r="AI56" s="208">
        <v>1597.3945470413353</v>
      </c>
      <c r="AJ56" s="208">
        <v>50.640524854907909</v>
      </c>
      <c r="AK56" s="208">
        <v>69.806926570779723</v>
      </c>
      <c r="AL56" s="208">
        <v>153.66007194613937</v>
      </c>
      <c r="AM56" s="208">
        <v>81.129308604592481</v>
      </c>
      <c r="AN56" s="208">
        <v>44.127542265960138</v>
      </c>
      <c r="AO56" s="163">
        <v>1996.7589212837149</v>
      </c>
      <c r="AP56" s="159">
        <v>1614.3165459066599</v>
      </c>
      <c r="AQ56" s="160">
        <v>51.926970056742235</v>
      </c>
      <c r="AR56" s="161">
        <v>65.146602046270559</v>
      </c>
      <c r="AS56" s="161">
        <v>153.5263996080626</v>
      </c>
      <c r="AT56" s="160">
        <v>80.726021429792397</v>
      </c>
      <c r="AU56" s="162">
        <v>59.25847159380956</v>
      </c>
      <c r="AV56" s="163">
        <v>2024.9010106413373</v>
      </c>
      <c r="AW56" s="164">
        <v>2298.3786631301355</v>
      </c>
      <c r="AX56" s="165">
        <v>0.94499999999999995</v>
      </c>
      <c r="AY56" s="166">
        <v>0</v>
      </c>
      <c r="AZ56" s="164">
        <v>1373.9</v>
      </c>
      <c r="BA56" s="160">
        <v>11606.50554833541</v>
      </c>
      <c r="BB56" s="160">
        <v>7150</v>
      </c>
      <c r="BC56" s="162">
        <v>210</v>
      </c>
      <c r="BD56" s="167"/>
    </row>
    <row r="57" spans="1:56" x14ac:dyDescent="0.2">
      <c r="A57" s="168">
        <v>60</v>
      </c>
      <c r="B57" s="169" t="s">
        <v>82</v>
      </c>
      <c r="C57" s="170">
        <v>3443700</v>
      </c>
      <c r="D57" s="104">
        <v>2346800</v>
      </c>
      <c r="E57" s="104">
        <v>457700</v>
      </c>
      <c r="F57" s="104">
        <v>112700</v>
      </c>
      <c r="I57" s="104">
        <v>0</v>
      </c>
      <c r="J57" s="104">
        <v>0</v>
      </c>
      <c r="K57" s="171">
        <v>0</v>
      </c>
      <c r="L57" s="172">
        <v>1.4525999999999999</v>
      </c>
      <c r="M57" s="173">
        <v>1.4997</v>
      </c>
      <c r="N57" s="104">
        <v>3694</v>
      </c>
      <c r="O57" s="104">
        <v>3665</v>
      </c>
      <c r="P57" s="104">
        <v>234</v>
      </c>
      <c r="Q57" s="174">
        <v>2637.1948000000007</v>
      </c>
      <c r="R57" s="175">
        <v>458</v>
      </c>
      <c r="S57" s="176">
        <v>17</v>
      </c>
      <c r="T57" s="182">
        <v>0</v>
      </c>
      <c r="U57" s="207">
        <v>46698.8</v>
      </c>
      <c r="V57" s="210">
        <v>20628.7</v>
      </c>
      <c r="W57" s="182">
        <v>442745.29999999993</v>
      </c>
      <c r="X57" s="207">
        <v>16077.9</v>
      </c>
      <c r="Y57" s="207">
        <v>36856.92</v>
      </c>
      <c r="Z57" s="210">
        <v>3682</v>
      </c>
      <c r="AA57" s="181">
        <v>192017.05000000002</v>
      </c>
      <c r="AB57" s="207">
        <v>1285.811392320813</v>
      </c>
      <c r="AC57" s="207">
        <v>16.235083919870057</v>
      </c>
      <c r="AD57" s="207">
        <v>33.415295073091507</v>
      </c>
      <c r="AE57" s="207">
        <v>77.188033825159664</v>
      </c>
      <c r="AF57" s="207">
        <v>52.739279913373046</v>
      </c>
      <c r="AG57" s="207">
        <v>38.810575708355891</v>
      </c>
      <c r="AH57" s="181">
        <v>1504.1996607606632</v>
      </c>
      <c r="AI57" s="207">
        <v>1335.6152952435659</v>
      </c>
      <c r="AJ57" s="207">
        <v>19.538872214643018</v>
      </c>
      <c r="AK57" s="207">
        <v>46.542337426102769</v>
      </c>
      <c r="AL57" s="207">
        <v>79.14851267760929</v>
      </c>
      <c r="AM57" s="207">
        <v>41.838790359254205</v>
      </c>
      <c r="AN57" s="207">
        <v>41.022864938608464</v>
      </c>
      <c r="AO57" s="181">
        <v>1563.7066728597838</v>
      </c>
      <c r="AP57" s="177">
        <v>1310.7133437821894</v>
      </c>
      <c r="AQ57" s="178">
        <v>17.886978067256535</v>
      </c>
      <c r="AR57" s="179">
        <v>39.978816249597138</v>
      </c>
      <c r="AS57" s="179">
        <v>78.168273251384477</v>
      </c>
      <c r="AT57" s="178">
        <v>47.289035136313629</v>
      </c>
      <c r="AU57" s="180">
        <v>39.916720323482181</v>
      </c>
      <c r="AV57" s="181">
        <v>1533.9531668102236</v>
      </c>
      <c r="AW57" s="182">
        <v>2298.3786631301355</v>
      </c>
      <c r="AX57" s="183">
        <v>0.94499999999999995</v>
      </c>
      <c r="AY57" s="184">
        <v>0</v>
      </c>
      <c r="AZ57" s="182">
        <v>1373.9</v>
      </c>
      <c r="BA57" s="178">
        <v>11606.50554833541</v>
      </c>
      <c r="BB57" s="178">
        <v>7150</v>
      </c>
      <c r="BC57" s="180">
        <v>210</v>
      </c>
      <c r="BD57" s="185"/>
    </row>
    <row r="58" spans="1:56" x14ac:dyDescent="0.2">
      <c r="A58" s="148">
        <v>62</v>
      </c>
      <c r="B58" s="149" t="s">
        <v>83</v>
      </c>
      <c r="C58" s="150">
        <v>4081300</v>
      </c>
      <c r="D58" s="151">
        <v>1578400</v>
      </c>
      <c r="E58" s="151">
        <v>199700</v>
      </c>
      <c r="F58" s="151">
        <v>267000</v>
      </c>
      <c r="G58" s="152"/>
      <c r="H58" s="152"/>
      <c r="I58" s="151">
        <v>0</v>
      </c>
      <c r="J58" s="151">
        <v>0</v>
      </c>
      <c r="K58" s="153">
        <v>0</v>
      </c>
      <c r="L58" s="154">
        <v>1.45</v>
      </c>
      <c r="M58" s="155">
        <v>1.45</v>
      </c>
      <c r="N58" s="151">
        <v>4924</v>
      </c>
      <c r="O58" s="151">
        <v>4945</v>
      </c>
      <c r="P58" s="151">
        <v>327</v>
      </c>
      <c r="Q58" s="156">
        <v>2402.4285999999997</v>
      </c>
      <c r="R58" s="157">
        <v>585</v>
      </c>
      <c r="S58" s="158">
        <v>18</v>
      </c>
      <c r="T58" s="164">
        <v>217484.15</v>
      </c>
      <c r="U58" s="208">
        <v>102063.35</v>
      </c>
      <c r="V58" s="209">
        <v>31133.45</v>
      </c>
      <c r="W58" s="164">
        <v>487279.5</v>
      </c>
      <c r="X58" s="208">
        <v>3028.5</v>
      </c>
      <c r="Y58" s="208">
        <v>86079.05</v>
      </c>
      <c r="Z58" s="209">
        <v>824.6</v>
      </c>
      <c r="AA58" s="163">
        <v>264672.15000000002</v>
      </c>
      <c r="AB58" s="208">
        <v>1336.0246280782928</v>
      </c>
      <c r="AC58" s="208">
        <v>27.069976983482267</v>
      </c>
      <c r="AD58" s="208">
        <v>63.851380991064175</v>
      </c>
      <c r="AE58" s="208">
        <v>81.066636135070112</v>
      </c>
      <c r="AF58" s="208">
        <v>43.954725155699968</v>
      </c>
      <c r="AG58" s="208">
        <v>12.126563769293258</v>
      </c>
      <c r="AH58" s="163">
        <v>1564.0939111129026</v>
      </c>
      <c r="AI58" s="208">
        <v>1345.2597092681149</v>
      </c>
      <c r="AJ58" s="208">
        <v>25.452153690596564</v>
      </c>
      <c r="AK58" s="208">
        <v>92.698429389956189</v>
      </c>
      <c r="AL58" s="208">
        <v>83.151359027419375</v>
      </c>
      <c r="AM58" s="208">
        <v>65.749052915402757</v>
      </c>
      <c r="AN58" s="208">
        <v>30.929760701044824</v>
      </c>
      <c r="AO58" s="163">
        <v>1643.2404649925345</v>
      </c>
      <c r="AP58" s="159">
        <v>1340.6421686732037</v>
      </c>
      <c r="AQ58" s="160">
        <v>26.261065337039415</v>
      </c>
      <c r="AR58" s="161">
        <v>78.274905190510182</v>
      </c>
      <c r="AS58" s="161">
        <v>82.108997581244751</v>
      </c>
      <c r="AT58" s="160">
        <v>54.851889035551366</v>
      </c>
      <c r="AU58" s="162">
        <v>21.528162235169042</v>
      </c>
      <c r="AV58" s="163">
        <v>1603.6671880527183</v>
      </c>
      <c r="AW58" s="164">
        <v>2298.3786631301355</v>
      </c>
      <c r="AX58" s="165">
        <v>0.94499999999999995</v>
      </c>
      <c r="AY58" s="166">
        <v>0</v>
      </c>
      <c r="AZ58" s="164">
        <v>1373.9</v>
      </c>
      <c r="BA58" s="160">
        <v>11606.50554833541</v>
      </c>
      <c r="BB58" s="160">
        <v>7150</v>
      </c>
      <c r="BC58" s="162">
        <v>210</v>
      </c>
      <c r="BD58" s="167"/>
    </row>
    <row r="59" spans="1:56" x14ac:dyDescent="0.2">
      <c r="A59" s="168">
        <v>63</v>
      </c>
      <c r="B59" s="169" t="s">
        <v>84</v>
      </c>
      <c r="C59" s="170">
        <v>6239000</v>
      </c>
      <c r="D59" s="104">
        <v>1372500</v>
      </c>
      <c r="E59" s="104">
        <v>826200</v>
      </c>
      <c r="F59" s="104">
        <v>432100</v>
      </c>
      <c r="I59" s="104">
        <v>0</v>
      </c>
      <c r="J59" s="104">
        <v>0</v>
      </c>
      <c r="K59" s="171">
        <v>0</v>
      </c>
      <c r="L59" s="172">
        <v>1.5809</v>
      </c>
      <c r="M59" s="173">
        <v>1.5555000000000001</v>
      </c>
      <c r="N59" s="104">
        <v>8368</v>
      </c>
      <c r="O59" s="104">
        <v>8382</v>
      </c>
      <c r="P59" s="104">
        <v>479</v>
      </c>
      <c r="Q59" s="174">
        <v>3123.8356000000003</v>
      </c>
      <c r="R59" s="175">
        <v>1029</v>
      </c>
      <c r="S59" s="176">
        <v>38</v>
      </c>
      <c r="T59" s="182">
        <v>321857.5</v>
      </c>
      <c r="U59" s="207">
        <v>92034.65</v>
      </c>
      <c r="V59" s="210">
        <v>25213.3</v>
      </c>
      <c r="W59" s="182">
        <v>1463425.99</v>
      </c>
      <c r="X59" s="207">
        <v>81273.05</v>
      </c>
      <c r="Y59" s="207">
        <v>294055.09999999998</v>
      </c>
      <c r="Z59" s="210">
        <v>8369</v>
      </c>
      <c r="AA59" s="181">
        <v>358085.85</v>
      </c>
      <c r="AB59" s="207">
        <v>1386.824274247766</v>
      </c>
      <c r="AC59" s="207">
        <v>37.059942638623333</v>
      </c>
      <c r="AD59" s="207">
        <v>72.938790630975134</v>
      </c>
      <c r="AE59" s="207">
        <v>75.453182768332624</v>
      </c>
      <c r="AF59" s="207">
        <v>65.142323932441045</v>
      </c>
      <c r="AG59" s="207">
        <v>32.044610420650095</v>
      </c>
      <c r="AH59" s="181">
        <v>1669.4631246387883</v>
      </c>
      <c r="AI59" s="207">
        <v>1411.6740788964721</v>
      </c>
      <c r="AJ59" s="207">
        <v>43.243804183567953</v>
      </c>
      <c r="AK59" s="207">
        <v>92.691541398234321</v>
      </c>
      <c r="AL59" s="207">
        <v>90.128785763395186</v>
      </c>
      <c r="AM59" s="207">
        <v>47.748190567088201</v>
      </c>
      <c r="AN59" s="207">
        <v>25.06035154696572</v>
      </c>
      <c r="AO59" s="181">
        <v>1710.5467523557234</v>
      </c>
      <c r="AP59" s="177">
        <v>1399.249176572119</v>
      </c>
      <c r="AQ59" s="178">
        <v>40.151873411095643</v>
      </c>
      <c r="AR59" s="179">
        <v>82.815166014604728</v>
      </c>
      <c r="AS59" s="179">
        <v>82.790984265863898</v>
      </c>
      <c r="AT59" s="178">
        <v>56.445257249764623</v>
      </c>
      <c r="AU59" s="180">
        <v>28.552480983807907</v>
      </c>
      <c r="AV59" s="181">
        <v>1690.004938497256</v>
      </c>
      <c r="AW59" s="182">
        <v>2298.3786631301355</v>
      </c>
      <c r="AX59" s="183">
        <v>0.94499999999999995</v>
      </c>
      <c r="AY59" s="184">
        <v>0</v>
      </c>
      <c r="AZ59" s="182">
        <v>1373.9</v>
      </c>
      <c r="BA59" s="178">
        <v>11606.50554833541</v>
      </c>
      <c r="BB59" s="178">
        <v>7150</v>
      </c>
      <c r="BC59" s="180">
        <v>210</v>
      </c>
      <c r="BD59" s="185"/>
    </row>
    <row r="60" spans="1:56" x14ac:dyDescent="0.2">
      <c r="A60" s="148">
        <v>64</v>
      </c>
      <c r="B60" s="149" t="s">
        <v>85</v>
      </c>
      <c r="C60" s="150">
        <v>540600</v>
      </c>
      <c r="D60" s="151">
        <v>0</v>
      </c>
      <c r="E60" s="151">
        <v>32700</v>
      </c>
      <c r="F60" s="151">
        <v>35100</v>
      </c>
      <c r="G60" s="152"/>
      <c r="H60" s="152"/>
      <c r="I60" s="151">
        <v>0</v>
      </c>
      <c r="J60" s="151">
        <v>0</v>
      </c>
      <c r="K60" s="153">
        <v>0</v>
      </c>
      <c r="L60" s="154">
        <v>1.43</v>
      </c>
      <c r="M60" s="155">
        <v>1.4</v>
      </c>
      <c r="N60" s="151">
        <v>1928</v>
      </c>
      <c r="O60" s="151">
        <v>1924</v>
      </c>
      <c r="P60" s="151">
        <v>97</v>
      </c>
      <c r="Q60" s="156">
        <v>353.327</v>
      </c>
      <c r="R60" s="157">
        <v>186</v>
      </c>
      <c r="S60" s="158">
        <v>10</v>
      </c>
      <c r="T60" s="164">
        <v>117796</v>
      </c>
      <c r="U60" s="208">
        <v>2535</v>
      </c>
      <c r="V60" s="209">
        <v>2580</v>
      </c>
      <c r="W60" s="164">
        <v>148591.49999999994</v>
      </c>
      <c r="X60" s="208">
        <v>6508.05</v>
      </c>
      <c r="Y60" s="208">
        <v>48294.9</v>
      </c>
      <c r="Z60" s="209">
        <v>2152</v>
      </c>
      <c r="AA60" s="163">
        <v>51896.5</v>
      </c>
      <c r="AB60" s="208">
        <v>1641.5312998065478</v>
      </c>
      <c r="AC60" s="208">
        <v>62.820383817427384</v>
      </c>
      <c r="AD60" s="208">
        <v>93.3783540802213</v>
      </c>
      <c r="AE60" s="208">
        <v>71.166721027254297</v>
      </c>
      <c r="AF60" s="208">
        <v>61.343378284923922</v>
      </c>
      <c r="AG60" s="208">
        <v>20.606639004149375</v>
      </c>
      <c r="AH60" s="163">
        <v>1950.8467760205242</v>
      </c>
      <c r="AI60" s="208">
        <v>1738.4570148270204</v>
      </c>
      <c r="AJ60" s="208">
        <v>53.888721413721427</v>
      </c>
      <c r="AK60" s="208">
        <v>64.59021136521136</v>
      </c>
      <c r="AL60" s="208">
        <v>74.452311181969776</v>
      </c>
      <c r="AM60" s="208">
        <v>35.775294525294527</v>
      </c>
      <c r="AN60" s="208">
        <v>33.650623700623697</v>
      </c>
      <c r="AO60" s="163">
        <v>2000.8141770138413</v>
      </c>
      <c r="AP60" s="159">
        <v>1689.9941573167841</v>
      </c>
      <c r="AQ60" s="160">
        <v>58.354552615574406</v>
      </c>
      <c r="AR60" s="161">
        <v>78.98428272271633</v>
      </c>
      <c r="AS60" s="161">
        <v>72.809516104612044</v>
      </c>
      <c r="AT60" s="160">
        <v>48.559336405109221</v>
      </c>
      <c r="AU60" s="162">
        <v>27.128631352386535</v>
      </c>
      <c r="AV60" s="163">
        <v>1975.8304765171829</v>
      </c>
      <c r="AW60" s="164">
        <v>2298.3786631301355</v>
      </c>
      <c r="AX60" s="165">
        <v>0.94499999999999995</v>
      </c>
      <c r="AY60" s="166">
        <v>0</v>
      </c>
      <c r="AZ60" s="164">
        <v>1373.9</v>
      </c>
      <c r="BA60" s="160">
        <v>11606.50554833541</v>
      </c>
      <c r="BB60" s="160">
        <v>7150</v>
      </c>
      <c r="BC60" s="162">
        <v>210</v>
      </c>
      <c r="BD60" s="167"/>
    </row>
    <row r="61" spans="1:56" x14ac:dyDescent="0.2">
      <c r="A61" s="168">
        <v>65</v>
      </c>
      <c r="B61" s="169" t="s">
        <v>86</v>
      </c>
      <c r="C61" s="170">
        <v>1563000</v>
      </c>
      <c r="D61" s="104">
        <v>761900</v>
      </c>
      <c r="E61" s="104">
        <v>575900</v>
      </c>
      <c r="F61" s="104">
        <v>88400</v>
      </c>
      <c r="I61" s="104">
        <v>0</v>
      </c>
      <c r="J61" s="104">
        <v>0</v>
      </c>
      <c r="K61" s="171">
        <v>0</v>
      </c>
      <c r="L61" s="172">
        <v>1.53</v>
      </c>
      <c r="M61" s="173">
        <v>1.53</v>
      </c>
      <c r="N61" s="104">
        <v>1331</v>
      </c>
      <c r="O61" s="104">
        <v>1330</v>
      </c>
      <c r="P61" s="104">
        <v>55</v>
      </c>
      <c r="Q61" s="174">
        <v>891.72439999999995</v>
      </c>
      <c r="R61" s="175">
        <v>201</v>
      </c>
      <c r="S61" s="176">
        <v>7</v>
      </c>
      <c r="T61" s="182">
        <v>175987.85</v>
      </c>
      <c r="U61" s="207">
        <v>0</v>
      </c>
      <c r="V61" s="210">
        <v>1656.9</v>
      </c>
      <c r="W61" s="182">
        <v>123716.09999999998</v>
      </c>
      <c r="X61" s="207">
        <v>17190</v>
      </c>
      <c r="Y61" s="207">
        <v>40885.800000000003</v>
      </c>
      <c r="Z61" s="210">
        <v>0</v>
      </c>
      <c r="AA61" s="181">
        <v>57086.149999999994</v>
      </c>
      <c r="AB61" s="207">
        <v>1151.6912509853996</v>
      </c>
      <c r="AC61" s="207">
        <v>21.691960931630351</v>
      </c>
      <c r="AD61" s="207">
        <v>40.027648384673178</v>
      </c>
      <c r="AE61" s="207">
        <v>69.160140662114713</v>
      </c>
      <c r="AF61" s="207">
        <v>21.369797145003758</v>
      </c>
      <c r="AG61" s="207">
        <v>28.965214124718255</v>
      </c>
      <c r="AH61" s="181">
        <v>1332.9060122335397</v>
      </c>
      <c r="AI61" s="207">
        <v>1249.7402520775624</v>
      </c>
      <c r="AJ61" s="207">
        <v>23.131077694235589</v>
      </c>
      <c r="AK61" s="207">
        <v>44.013609022556388</v>
      </c>
      <c r="AL61" s="207">
        <v>71.327190924063515</v>
      </c>
      <c r="AM61" s="207">
        <v>43.008320802005017</v>
      </c>
      <c r="AN61" s="207">
        <v>39.587518796992484</v>
      </c>
      <c r="AO61" s="181">
        <v>1470.8079693174154</v>
      </c>
      <c r="AP61" s="177">
        <v>1200.7157515314811</v>
      </c>
      <c r="AQ61" s="178">
        <v>22.41151931293297</v>
      </c>
      <c r="AR61" s="179">
        <v>42.020628703614783</v>
      </c>
      <c r="AS61" s="179">
        <v>70.243665793089122</v>
      </c>
      <c r="AT61" s="178">
        <v>32.189058973504387</v>
      </c>
      <c r="AU61" s="180">
        <v>34.276366460855371</v>
      </c>
      <c r="AV61" s="181">
        <v>1401.8569907754779</v>
      </c>
      <c r="AW61" s="182">
        <v>2298.3786631301355</v>
      </c>
      <c r="AX61" s="183">
        <v>0.94499999999999995</v>
      </c>
      <c r="AY61" s="184">
        <v>0</v>
      </c>
      <c r="AZ61" s="182">
        <v>1373.9</v>
      </c>
      <c r="BA61" s="178">
        <v>11606.50554833541</v>
      </c>
      <c r="BB61" s="178">
        <v>7150</v>
      </c>
      <c r="BC61" s="180">
        <v>210</v>
      </c>
      <c r="BD61" s="185"/>
    </row>
    <row r="62" spans="1:56" x14ac:dyDescent="0.2">
      <c r="A62" s="148">
        <v>66</v>
      </c>
      <c r="B62" s="149" t="s">
        <v>87</v>
      </c>
      <c r="C62" s="150">
        <v>5099300</v>
      </c>
      <c r="D62" s="151">
        <v>2654500</v>
      </c>
      <c r="E62" s="151">
        <v>631000</v>
      </c>
      <c r="F62" s="151">
        <v>75000</v>
      </c>
      <c r="G62" s="152"/>
      <c r="H62" s="152"/>
      <c r="I62" s="151">
        <v>0</v>
      </c>
      <c r="J62" s="151">
        <v>0</v>
      </c>
      <c r="K62" s="153">
        <v>0</v>
      </c>
      <c r="L62" s="154">
        <v>1.42</v>
      </c>
      <c r="M62" s="155">
        <v>1.42</v>
      </c>
      <c r="N62" s="151">
        <v>4097</v>
      </c>
      <c r="O62" s="151">
        <v>4048</v>
      </c>
      <c r="P62" s="151">
        <v>162</v>
      </c>
      <c r="Q62" s="156">
        <v>2958.2659999999996</v>
      </c>
      <c r="R62" s="157">
        <v>519</v>
      </c>
      <c r="S62" s="158">
        <v>15</v>
      </c>
      <c r="T62" s="164">
        <v>0</v>
      </c>
      <c r="U62" s="208">
        <v>50036.75</v>
      </c>
      <c r="V62" s="209">
        <v>30659.25</v>
      </c>
      <c r="W62" s="164">
        <v>641666.07999999996</v>
      </c>
      <c r="X62" s="208">
        <v>73933</v>
      </c>
      <c r="Y62" s="208">
        <v>91950</v>
      </c>
      <c r="Z62" s="209">
        <v>18807</v>
      </c>
      <c r="AA62" s="163">
        <v>119361.95</v>
      </c>
      <c r="AB62" s="208">
        <v>1122.8507229296192</v>
      </c>
      <c r="AC62" s="208">
        <v>22.74766089008217</v>
      </c>
      <c r="AD62" s="208">
        <v>18.876014970303476</v>
      </c>
      <c r="AE62" s="208">
        <v>68.417370653574537</v>
      </c>
      <c r="AF62" s="208">
        <v>32.204881620698067</v>
      </c>
      <c r="AG62" s="208">
        <v>26.962639329590761</v>
      </c>
      <c r="AH62" s="163">
        <v>1292.0592903938682</v>
      </c>
      <c r="AI62" s="208">
        <v>1133.0784508640672</v>
      </c>
      <c r="AJ62" s="208">
        <v>22.693453557312246</v>
      </c>
      <c r="AK62" s="208">
        <v>27.541312582345192</v>
      </c>
      <c r="AL62" s="208">
        <v>70.592799912089291</v>
      </c>
      <c r="AM62" s="208">
        <v>43.481060606060609</v>
      </c>
      <c r="AN62" s="208">
        <v>18.111544795783928</v>
      </c>
      <c r="AO62" s="163">
        <v>1315.4986223176584</v>
      </c>
      <c r="AP62" s="159">
        <v>1127.9645868968432</v>
      </c>
      <c r="AQ62" s="160">
        <v>22.720557223697206</v>
      </c>
      <c r="AR62" s="161">
        <v>23.208663776324336</v>
      </c>
      <c r="AS62" s="161">
        <v>69.505085282831914</v>
      </c>
      <c r="AT62" s="160">
        <v>37.842971113379335</v>
      </c>
      <c r="AU62" s="162">
        <v>22.537092062687343</v>
      </c>
      <c r="AV62" s="163">
        <v>1303.7789563557633</v>
      </c>
      <c r="AW62" s="164">
        <v>2298.3786631301355</v>
      </c>
      <c r="AX62" s="165">
        <v>0.94499999999999995</v>
      </c>
      <c r="AY62" s="166">
        <v>0</v>
      </c>
      <c r="AZ62" s="164">
        <v>1373.9</v>
      </c>
      <c r="BA62" s="160">
        <v>11606.50554833541</v>
      </c>
      <c r="BB62" s="160">
        <v>7150</v>
      </c>
      <c r="BC62" s="162">
        <v>210</v>
      </c>
      <c r="BD62" s="167"/>
    </row>
    <row r="63" spans="1:56" x14ac:dyDescent="0.2">
      <c r="A63" s="168">
        <v>67</v>
      </c>
      <c r="B63" s="169" t="s">
        <v>88</v>
      </c>
      <c r="C63" s="170">
        <v>1245500</v>
      </c>
      <c r="D63" s="104">
        <v>1438600</v>
      </c>
      <c r="E63" s="104">
        <v>176200</v>
      </c>
      <c r="F63" s="104">
        <v>53000</v>
      </c>
      <c r="I63" s="104">
        <v>0</v>
      </c>
      <c r="J63" s="104">
        <v>0</v>
      </c>
      <c r="K63" s="171">
        <v>0</v>
      </c>
      <c r="L63" s="172">
        <v>1.48</v>
      </c>
      <c r="M63" s="173">
        <v>1.48</v>
      </c>
      <c r="N63" s="104">
        <v>955</v>
      </c>
      <c r="O63" s="104">
        <v>925</v>
      </c>
      <c r="P63" s="104">
        <v>42</v>
      </c>
      <c r="Q63" s="174">
        <v>1281.5839999999996</v>
      </c>
      <c r="R63" s="175">
        <v>121</v>
      </c>
      <c r="S63" s="176">
        <v>4</v>
      </c>
      <c r="T63" s="182">
        <v>106937.72</v>
      </c>
      <c r="U63" s="207">
        <v>12165.050000000003</v>
      </c>
      <c r="V63" s="210">
        <v>7452.6</v>
      </c>
      <c r="W63" s="182">
        <v>125599.2</v>
      </c>
      <c r="X63" s="207">
        <v>0</v>
      </c>
      <c r="Y63" s="207">
        <v>3548.2</v>
      </c>
      <c r="Z63" s="210">
        <v>0</v>
      </c>
      <c r="AA63" s="181">
        <v>20758.599999999999</v>
      </c>
      <c r="AB63" s="207">
        <v>1076.9058304924615</v>
      </c>
      <c r="AC63" s="207">
        <v>6.5566143106457231</v>
      </c>
      <c r="AD63" s="207">
        <v>11.776823734729494</v>
      </c>
      <c r="AE63" s="207">
        <v>77.446952470023319</v>
      </c>
      <c r="AF63" s="207">
        <v>52.289877835951138</v>
      </c>
      <c r="AG63" s="207">
        <v>43.160139616055837</v>
      </c>
      <c r="AH63" s="181">
        <v>1268.1362384598669</v>
      </c>
      <c r="AI63" s="207">
        <v>1132.5011981528439</v>
      </c>
      <c r="AJ63" s="207">
        <v>11.767567567567568</v>
      </c>
      <c r="AK63" s="207">
        <v>18.290306306306306</v>
      </c>
      <c r="AL63" s="207">
        <v>84.06557932730685</v>
      </c>
      <c r="AM63" s="207">
        <v>50.849477477477471</v>
      </c>
      <c r="AN63" s="207">
        <v>19.883315315315315</v>
      </c>
      <c r="AO63" s="181">
        <v>1317.3574441468172</v>
      </c>
      <c r="AP63" s="177">
        <v>1104.7035143226526</v>
      </c>
      <c r="AQ63" s="178">
        <v>9.1620909391066458</v>
      </c>
      <c r="AR63" s="179">
        <v>15.0335650205179</v>
      </c>
      <c r="AS63" s="179">
        <v>80.756265898665077</v>
      </c>
      <c r="AT63" s="178">
        <v>51.569677656714305</v>
      </c>
      <c r="AU63" s="180">
        <v>31.521727465685576</v>
      </c>
      <c r="AV63" s="181">
        <v>1292.7468413033423</v>
      </c>
      <c r="AW63" s="182">
        <v>2298.3786631301355</v>
      </c>
      <c r="AX63" s="183">
        <v>0.94499999999999995</v>
      </c>
      <c r="AY63" s="184">
        <v>0</v>
      </c>
      <c r="AZ63" s="182">
        <v>1373.9</v>
      </c>
      <c r="BA63" s="178">
        <v>11606.50554833541</v>
      </c>
      <c r="BB63" s="178">
        <v>7150</v>
      </c>
      <c r="BC63" s="180">
        <v>210</v>
      </c>
      <c r="BD63" s="185"/>
    </row>
    <row r="64" spans="1:56" x14ac:dyDescent="0.2">
      <c r="A64" s="148">
        <v>70</v>
      </c>
      <c r="B64" s="149" t="s">
        <v>89</v>
      </c>
      <c r="C64" s="150">
        <v>2921700</v>
      </c>
      <c r="D64" s="151">
        <v>1227100</v>
      </c>
      <c r="E64" s="151">
        <v>614400</v>
      </c>
      <c r="F64" s="151">
        <v>173400</v>
      </c>
      <c r="G64" s="152"/>
      <c r="H64" s="152"/>
      <c r="I64" s="151">
        <v>0</v>
      </c>
      <c r="J64" s="151">
        <v>0</v>
      </c>
      <c r="K64" s="153">
        <v>0</v>
      </c>
      <c r="L64" s="154">
        <v>1.4806999999999999</v>
      </c>
      <c r="M64" s="155">
        <v>1.5485</v>
      </c>
      <c r="N64" s="151">
        <v>4563</v>
      </c>
      <c r="O64" s="151">
        <v>4540</v>
      </c>
      <c r="P64" s="151">
        <v>247</v>
      </c>
      <c r="Q64" s="156">
        <v>2044.0153999999998</v>
      </c>
      <c r="R64" s="157">
        <v>569</v>
      </c>
      <c r="S64" s="158">
        <v>25</v>
      </c>
      <c r="T64" s="164">
        <v>168404.34999999998</v>
      </c>
      <c r="U64" s="208">
        <v>0</v>
      </c>
      <c r="V64" s="209">
        <v>9437.15</v>
      </c>
      <c r="W64" s="164">
        <v>430173.35000000003</v>
      </c>
      <c r="X64" s="208">
        <v>10000</v>
      </c>
      <c r="Y64" s="208">
        <v>81500</v>
      </c>
      <c r="Z64" s="209">
        <v>11300</v>
      </c>
      <c r="AA64" s="163">
        <v>254292.85</v>
      </c>
      <c r="AB64" s="208">
        <v>1406.2301080668708</v>
      </c>
      <c r="AC64" s="208">
        <v>32.60557381839434</v>
      </c>
      <c r="AD64" s="208">
        <v>108.0466213748265</v>
      </c>
      <c r="AE64" s="208">
        <v>69.776081956646109</v>
      </c>
      <c r="AF64" s="208">
        <v>32.164095258967052</v>
      </c>
      <c r="AG64" s="208">
        <v>17.024348016655708</v>
      </c>
      <c r="AH64" s="163">
        <v>1665.8468284923606</v>
      </c>
      <c r="AI64" s="208">
        <v>1471.1887670544634</v>
      </c>
      <c r="AJ64" s="208">
        <v>37.986138032305426</v>
      </c>
      <c r="AK64" s="208">
        <v>114.36339941262848</v>
      </c>
      <c r="AL64" s="208">
        <v>73.331232438647902</v>
      </c>
      <c r="AM64" s="208">
        <v>38.634361233480178</v>
      </c>
      <c r="AN64" s="208">
        <v>79.715741556534496</v>
      </c>
      <c r="AO64" s="163">
        <v>1815.21963972806</v>
      </c>
      <c r="AP64" s="159">
        <v>1438.7094375606671</v>
      </c>
      <c r="AQ64" s="160">
        <v>35.295855925349883</v>
      </c>
      <c r="AR64" s="161">
        <v>111.20501039372749</v>
      </c>
      <c r="AS64" s="161">
        <v>71.553657197646999</v>
      </c>
      <c r="AT64" s="160">
        <v>35.399228246223615</v>
      </c>
      <c r="AU64" s="162">
        <v>48.370044786595102</v>
      </c>
      <c r="AV64" s="163">
        <v>1740.5332341102101</v>
      </c>
      <c r="AW64" s="164">
        <v>2298.3786631301355</v>
      </c>
      <c r="AX64" s="165">
        <v>0.94499999999999995</v>
      </c>
      <c r="AY64" s="166">
        <v>0</v>
      </c>
      <c r="AZ64" s="164">
        <v>1373.9</v>
      </c>
      <c r="BA64" s="160">
        <v>11606.50554833541</v>
      </c>
      <c r="BB64" s="160">
        <v>7150</v>
      </c>
      <c r="BC64" s="162">
        <v>210</v>
      </c>
      <c r="BD64" s="167"/>
    </row>
    <row r="65" spans="1:56" x14ac:dyDescent="0.2">
      <c r="A65" s="168">
        <v>71</v>
      </c>
      <c r="B65" s="169" t="s">
        <v>90</v>
      </c>
      <c r="C65" s="170">
        <v>999000</v>
      </c>
      <c r="D65" s="104">
        <v>768100</v>
      </c>
      <c r="E65" s="104">
        <v>320900</v>
      </c>
      <c r="F65" s="104">
        <v>52600</v>
      </c>
      <c r="I65" s="104">
        <v>0</v>
      </c>
      <c r="J65" s="104">
        <v>0</v>
      </c>
      <c r="K65" s="171">
        <v>0</v>
      </c>
      <c r="L65" s="172">
        <v>1.47</v>
      </c>
      <c r="M65" s="173">
        <v>1.39</v>
      </c>
      <c r="N65" s="104">
        <v>1401</v>
      </c>
      <c r="O65" s="104">
        <v>1427</v>
      </c>
      <c r="P65" s="104">
        <v>45</v>
      </c>
      <c r="Q65" s="174">
        <v>920.82500000000016</v>
      </c>
      <c r="R65" s="175">
        <v>191</v>
      </c>
      <c r="S65" s="176">
        <v>6</v>
      </c>
      <c r="T65" s="182">
        <v>85440.95</v>
      </c>
      <c r="U65" s="207">
        <v>3718.4</v>
      </c>
      <c r="V65" s="210">
        <v>21482</v>
      </c>
      <c r="W65" s="182">
        <v>108078.15000000002</v>
      </c>
      <c r="X65" s="207">
        <v>3347</v>
      </c>
      <c r="Y65" s="207">
        <v>14353</v>
      </c>
      <c r="Z65" s="210">
        <v>0</v>
      </c>
      <c r="AA65" s="181">
        <v>62275.8</v>
      </c>
      <c r="AB65" s="207">
        <v>1365.249150982381</v>
      </c>
      <c r="AC65" s="207">
        <v>65.198358315488917</v>
      </c>
      <c r="AD65" s="207">
        <v>42.321698786581017</v>
      </c>
      <c r="AE65" s="207">
        <v>79.802270201481605</v>
      </c>
      <c r="AF65" s="207">
        <v>38.622364977397091</v>
      </c>
      <c r="AG65" s="207">
        <v>26.48446347846776</v>
      </c>
      <c r="AH65" s="181">
        <v>1617.6783067417975</v>
      </c>
      <c r="AI65" s="207">
        <v>1462.1754419838942</v>
      </c>
      <c r="AJ65" s="207">
        <v>76.506704041111888</v>
      </c>
      <c r="AK65" s="207">
        <v>73.819691660826905</v>
      </c>
      <c r="AL65" s="207">
        <v>81.692352625208116</v>
      </c>
      <c r="AM65" s="207">
        <v>18.207615043214201</v>
      </c>
      <c r="AN65" s="207">
        <v>24.829409016584915</v>
      </c>
      <c r="AO65" s="181">
        <v>1737.23121437084</v>
      </c>
      <c r="AP65" s="177">
        <v>1413.7122964831376</v>
      </c>
      <c r="AQ65" s="178">
        <v>70.85253117830041</v>
      </c>
      <c r="AR65" s="179">
        <v>58.070695223703964</v>
      </c>
      <c r="AS65" s="179">
        <v>80.74731141334486</v>
      </c>
      <c r="AT65" s="178">
        <v>28.414990010305644</v>
      </c>
      <c r="AU65" s="180">
        <v>25.656936247526339</v>
      </c>
      <c r="AV65" s="181">
        <v>1677.4547605563189</v>
      </c>
      <c r="AW65" s="182">
        <v>2298.3786631301355</v>
      </c>
      <c r="AX65" s="183">
        <v>0.94499999999999995</v>
      </c>
      <c r="AY65" s="184">
        <v>0</v>
      </c>
      <c r="AZ65" s="182">
        <v>1373.9</v>
      </c>
      <c r="BA65" s="178">
        <v>11606.50554833541</v>
      </c>
      <c r="BB65" s="178">
        <v>7150</v>
      </c>
      <c r="BC65" s="180">
        <v>210</v>
      </c>
      <c r="BD65" s="185"/>
    </row>
    <row r="66" spans="1:56" x14ac:dyDescent="0.2">
      <c r="A66" s="148">
        <v>72</v>
      </c>
      <c r="B66" s="149" t="s">
        <v>91</v>
      </c>
      <c r="C66" s="150">
        <v>3663300</v>
      </c>
      <c r="D66" s="151">
        <v>2110900</v>
      </c>
      <c r="E66" s="151">
        <v>1235800</v>
      </c>
      <c r="F66" s="151">
        <v>56400</v>
      </c>
      <c r="G66" s="152"/>
      <c r="H66" s="152"/>
      <c r="I66" s="151">
        <v>0</v>
      </c>
      <c r="J66" s="151">
        <v>0</v>
      </c>
      <c r="K66" s="153">
        <v>0</v>
      </c>
      <c r="L66" s="154">
        <v>1.45</v>
      </c>
      <c r="M66" s="155">
        <v>1.45</v>
      </c>
      <c r="N66" s="151">
        <v>2857</v>
      </c>
      <c r="O66" s="151">
        <v>2840</v>
      </c>
      <c r="P66" s="151">
        <v>141</v>
      </c>
      <c r="Q66" s="156">
        <v>2256.3689999999992</v>
      </c>
      <c r="R66" s="157">
        <v>434</v>
      </c>
      <c r="S66" s="158">
        <v>1</v>
      </c>
      <c r="T66" s="164">
        <v>78012.899999999994</v>
      </c>
      <c r="U66" s="208">
        <v>0</v>
      </c>
      <c r="V66" s="209">
        <v>31737.15</v>
      </c>
      <c r="W66" s="164">
        <v>267493.39999999997</v>
      </c>
      <c r="X66" s="208">
        <v>0</v>
      </c>
      <c r="Y66" s="208">
        <v>24388.799999999999</v>
      </c>
      <c r="Z66" s="209">
        <v>0</v>
      </c>
      <c r="AA66" s="163">
        <v>129741.25</v>
      </c>
      <c r="AB66" s="208">
        <v>1140.3062235114046</v>
      </c>
      <c r="AC66" s="208">
        <v>15.772161941430403</v>
      </c>
      <c r="AD66" s="208">
        <v>27.61136390152841</v>
      </c>
      <c r="AE66" s="208">
        <v>62.537198807142516</v>
      </c>
      <c r="AF66" s="208">
        <v>24.091296231478239</v>
      </c>
      <c r="AG66" s="208">
        <v>21.459164624897912</v>
      </c>
      <c r="AH66" s="163">
        <v>1291.7774090178821</v>
      </c>
      <c r="AI66" s="208">
        <v>1153.3419316823902</v>
      </c>
      <c r="AJ66" s="208">
        <v>17.600223004694836</v>
      </c>
      <c r="AK66" s="208">
        <v>29.723814553990611</v>
      </c>
      <c r="AL66" s="208">
        <v>65.316939753303373</v>
      </c>
      <c r="AM66" s="208">
        <v>18.716478873239435</v>
      </c>
      <c r="AN66" s="208">
        <v>9.1831455399061017</v>
      </c>
      <c r="AO66" s="163">
        <v>1293.8825334075243</v>
      </c>
      <c r="AP66" s="159">
        <v>1146.8240775968975</v>
      </c>
      <c r="AQ66" s="160">
        <v>16.686192473062619</v>
      </c>
      <c r="AR66" s="161">
        <v>28.66758922775951</v>
      </c>
      <c r="AS66" s="161">
        <v>63.927069280222945</v>
      </c>
      <c r="AT66" s="160">
        <v>21.403887552358839</v>
      </c>
      <c r="AU66" s="162">
        <v>15.321155082402008</v>
      </c>
      <c r="AV66" s="163">
        <v>1292.8299712127032</v>
      </c>
      <c r="AW66" s="164">
        <v>2298.3786631301355</v>
      </c>
      <c r="AX66" s="165">
        <v>0.94499999999999995</v>
      </c>
      <c r="AY66" s="166">
        <v>0</v>
      </c>
      <c r="AZ66" s="164">
        <v>1373.9</v>
      </c>
      <c r="BA66" s="160">
        <v>11606.50554833541</v>
      </c>
      <c r="BB66" s="160">
        <v>7150</v>
      </c>
      <c r="BC66" s="162">
        <v>210</v>
      </c>
      <c r="BD66" s="167"/>
    </row>
    <row r="67" spans="1:56" x14ac:dyDescent="0.2">
      <c r="A67" s="168">
        <v>73</v>
      </c>
      <c r="B67" s="169" t="s">
        <v>92</v>
      </c>
      <c r="C67" s="170">
        <v>4956900</v>
      </c>
      <c r="D67" s="104">
        <v>2503700</v>
      </c>
      <c r="E67" s="104">
        <v>1827200</v>
      </c>
      <c r="F67" s="104">
        <v>96800</v>
      </c>
      <c r="I67" s="104">
        <v>0</v>
      </c>
      <c r="J67" s="104">
        <v>0</v>
      </c>
      <c r="K67" s="171">
        <v>0</v>
      </c>
      <c r="L67" s="172">
        <v>1.47</v>
      </c>
      <c r="M67" s="173">
        <v>1.45</v>
      </c>
      <c r="N67" s="104">
        <v>8348</v>
      </c>
      <c r="O67" s="104">
        <v>8416</v>
      </c>
      <c r="P67" s="104">
        <v>343</v>
      </c>
      <c r="Q67" s="174">
        <v>3955.7892000000002</v>
      </c>
      <c r="R67" s="175">
        <v>1128</v>
      </c>
      <c r="S67" s="176">
        <v>22</v>
      </c>
      <c r="T67" s="182">
        <v>92929.1</v>
      </c>
      <c r="U67" s="207">
        <v>0</v>
      </c>
      <c r="V67" s="210">
        <v>50770.5</v>
      </c>
      <c r="W67" s="182">
        <v>1094704.4500000002</v>
      </c>
      <c r="X67" s="207">
        <v>54709.599999999999</v>
      </c>
      <c r="Y67" s="207">
        <v>188888.1</v>
      </c>
      <c r="Z67" s="210">
        <v>16275</v>
      </c>
      <c r="AA67" s="181">
        <v>363275.5</v>
      </c>
      <c r="AB67" s="207">
        <v>1385.6428381640339</v>
      </c>
      <c r="AC67" s="207">
        <v>57.484627056380774</v>
      </c>
      <c r="AD67" s="207">
        <v>100.72603018687111</v>
      </c>
      <c r="AE67" s="207">
        <v>89.574039576767461</v>
      </c>
      <c r="AF67" s="207">
        <v>67.801689027311937</v>
      </c>
      <c r="AG67" s="207">
        <v>31.758409199808337</v>
      </c>
      <c r="AH67" s="181">
        <v>1732.9876332111737</v>
      </c>
      <c r="AI67" s="207">
        <v>1371.8001930043895</v>
      </c>
      <c r="AJ67" s="207">
        <v>75.173641476552589</v>
      </c>
      <c r="AK67" s="207">
        <v>188.13702075411913</v>
      </c>
      <c r="AL67" s="207">
        <v>95.289357425347873</v>
      </c>
      <c r="AM67" s="207">
        <v>35.87124920785805</v>
      </c>
      <c r="AN67" s="207">
        <v>35.039935836501904</v>
      </c>
      <c r="AO67" s="181">
        <v>1801.3113977047688</v>
      </c>
      <c r="AP67" s="177">
        <v>1378.7215155842118</v>
      </c>
      <c r="AQ67" s="178">
        <v>66.329134266466681</v>
      </c>
      <c r="AR67" s="179">
        <v>144.43152547049513</v>
      </c>
      <c r="AS67" s="179">
        <v>92.431698501057667</v>
      </c>
      <c r="AT67" s="178">
        <v>51.836469117584997</v>
      </c>
      <c r="AU67" s="180">
        <v>33.399172518155119</v>
      </c>
      <c r="AV67" s="181">
        <v>1767.1495154579716</v>
      </c>
      <c r="AW67" s="182">
        <v>2298.3786631301355</v>
      </c>
      <c r="AX67" s="183">
        <v>0.94499999999999995</v>
      </c>
      <c r="AY67" s="184">
        <v>0</v>
      </c>
      <c r="AZ67" s="182">
        <v>1373.9</v>
      </c>
      <c r="BA67" s="178">
        <v>11606.50554833541</v>
      </c>
      <c r="BB67" s="178">
        <v>7150</v>
      </c>
      <c r="BC67" s="180">
        <v>210</v>
      </c>
      <c r="BD67" s="185"/>
    </row>
    <row r="68" spans="1:56" x14ac:dyDescent="0.2">
      <c r="A68" s="148">
        <v>76</v>
      </c>
      <c r="B68" s="149" t="s">
        <v>93</v>
      </c>
      <c r="C68" s="150">
        <v>449100</v>
      </c>
      <c r="D68" s="151">
        <v>74300</v>
      </c>
      <c r="E68" s="151">
        <v>1566800</v>
      </c>
      <c r="F68" s="151">
        <v>0</v>
      </c>
      <c r="G68" s="152"/>
      <c r="H68" s="152"/>
      <c r="I68" s="151">
        <v>0</v>
      </c>
      <c r="J68" s="151">
        <v>0</v>
      </c>
      <c r="K68" s="153">
        <v>0</v>
      </c>
      <c r="L68" s="154">
        <v>1.45</v>
      </c>
      <c r="M68" s="155">
        <v>1.42</v>
      </c>
      <c r="N68" s="151">
        <v>3653</v>
      </c>
      <c r="O68" s="151">
        <v>3720</v>
      </c>
      <c r="P68" s="151">
        <v>76</v>
      </c>
      <c r="Q68" s="156">
        <v>997.13</v>
      </c>
      <c r="R68" s="157">
        <v>564</v>
      </c>
      <c r="S68" s="158">
        <v>8</v>
      </c>
      <c r="T68" s="164">
        <v>0</v>
      </c>
      <c r="U68" s="208">
        <v>10823.6</v>
      </c>
      <c r="V68" s="209">
        <v>802</v>
      </c>
      <c r="W68" s="164">
        <v>121996.08</v>
      </c>
      <c r="X68" s="208">
        <v>0</v>
      </c>
      <c r="Y68" s="208">
        <v>58899.3</v>
      </c>
      <c r="Z68" s="209">
        <v>1200</v>
      </c>
      <c r="AA68" s="163">
        <v>62275.8</v>
      </c>
      <c r="AB68" s="208">
        <v>1646.7838103915572</v>
      </c>
      <c r="AC68" s="208">
        <v>37.375590838580166</v>
      </c>
      <c r="AD68" s="208">
        <v>120.38287252486542</v>
      </c>
      <c r="AE68" s="208">
        <v>96.985505622076388</v>
      </c>
      <c r="AF68" s="208">
        <v>92.588840222648045</v>
      </c>
      <c r="AG68" s="208">
        <v>86.315083493019429</v>
      </c>
      <c r="AH68" s="163">
        <v>2080.4317030927464</v>
      </c>
      <c r="AI68" s="208">
        <v>1676.8432282494455</v>
      </c>
      <c r="AJ68" s="208">
        <v>44.839193548387101</v>
      </c>
      <c r="AK68" s="208">
        <v>142.43661290322581</v>
      </c>
      <c r="AL68" s="208">
        <v>102.30319652077895</v>
      </c>
      <c r="AM68" s="208">
        <v>91.256756272401446</v>
      </c>
      <c r="AN68" s="208">
        <v>35.808225806451617</v>
      </c>
      <c r="AO68" s="163">
        <v>2093.4872133006902</v>
      </c>
      <c r="AP68" s="159">
        <v>1661.8135193205012</v>
      </c>
      <c r="AQ68" s="160">
        <v>41.107392193483633</v>
      </c>
      <c r="AR68" s="161">
        <v>131.40974271404562</v>
      </c>
      <c r="AS68" s="161">
        <v>99.644351071427678</v>
      </c>
      <c r="AT68" s="160">
        <v>91.922798247524753</v>
      </c>
      <c r="AU68" s="162">
        <v>61.061654649735523</v>
      </c>
      <c r="AV68" s="163">
        <v>2086.9594581967185</v>
      </c>
      <c r="AW68" s="164">
        <v>2298.3786631301355</v>
      </c>
      <c r="AX68" s="165">
        <v>0.94499999999999995</v>
      </c>
      <c r="AY68" s="166">
        <v>0</v>
      </c>
      <c r="AZ68" s="164">
        <v>1373.9</v>
      </c>
      <c r="BA68" s="160">
        <v>11606.50554833541</v>
      </c>
      <c r="BB68" s="160">
        <v>7150</v>
      </c>
      <c r="BC68" s="162">
        <v>210</v>
      </c>
      <c r="BD68" s="167"/>
    </row>
    <row r="69" spans="1:56" x14ac:dyDescent="0.2">
      <c r="A69" s="168">
        <v>77</v>
      </c>
      <c r="B69" s="169" t="s">
        <v>94</v>
      </c>
      <c r="C69" s="170">
        <v>823500</v>
      </c>
      <c r="D69" s="104">
        <v>0</v>
      </c>
      <c r="E69" s="104">
        <v>879600</v>
      </c>
      <c r="F69" s="104">
        <v>53800</v>
      </c>
      <c r="I69" s="104">
        <v>0</v>
      </c>
      <c r="J69" s="104">
        <v>0</v>
      </c>
      <c r="K69" s="171">
        <v>0</v>
      </c>
      <c r="L69" s="172">
        <v>1.35</v>
      </c>
      <c r="M69" s="173">
        <v>1.35</v>
      </c>
      <c r="N69" s="104">
        <v>5923</v>
      </c>
      <c r="O69" s="104">
        <v>6011</v>
      </c>
      <c r="P69" s="104">
        <v>270</v>
      </c>
      <c r="Q69" s="174">
        <v>1268.3006</v>
      </c>
      <c r="R69" s="175">
        <v>769</v>
      </c>
      <c r="S69" s="176">
        <v>15</v>
      </c>
      <c r="T69" s="182">
        <v>73987.77</v>
      </c>
      <c r="U69" s="207">
        <v>94172.5</v>
      </c>
      <c r="V69" s="210">
        <v>32405.75</v>
      </c>
      <c r="W69" s="182">
        <v>628419.4</v>
      </c>
      <c r="X69" s="207">
        <v>11987.1</v>
      </c>
      <c r="Y69" s="207">
        <v>62329.84</v>
      </c>
      <c r="Z69" s="210">
        <v>18265</v>
      </c>
      <c r="AA69" s="181">
        <v>249103.2</v>
      </c>
      <c r="AB69" s="207">
        <v>1672.887821889763</v>
      </c>
      <c r="AC69" s="207">
        <v>42.515650852608466</v>
      </c>
      <c r="AD69" s="207">
        <v>82.958866565366648</v>
      </c>
      <c r="AE69" s="207">
        <v>79.608777785687963</v>
      </c>
      <c r="AF69" s="207">
        <v>70.96232764927683</v>
      </c>
      <c r="AG69" s="207">
        <v>61.553638358939729</v>
      </c>
      <c r="AH69" s="181">
        <v>2010.4870831016426</v>
      </c>
      <c r="AI69" s="207">
        <v>1752.6096935647763</v>
      </c>
      <c r="AJ69" s="207">
        <v>43.151721843287305</v>
      </c>
      <c r="AK69" s="207">
        <v>130.44115233183609</v>
      </c>
      <c r="AL69" s="207">
        <v>84.997339512875456</v>
      </c>
      <c r="AM69" s="207">
        <v>82.713453113735923</v>
      </c>
      <c r="AN69" s="207">
        <v>37.383230743636659</v>
      </c>
      <c r="AO69" s="181">
        <v>2131.2965911101473</v>
      </c>
      <c r="AP69" s="177">
        <v>1712.7487577272695</v>
      </c>
      <c r="AQ69" s="178">
        <v>42.833686347947889</v>
      </c>
      <c r="AR69" s="179">
        <v>106.70000944860138</v>
      </c>
      <c r="AS69" s="179">
        <v>82.303058649281709</v>
      </c>
      <c r="AT69" s="178">
        <v>76.837890381506384</v>
      </c>
      <c r="AU69" s="180">
        <v>49.468434551288198</v>
      </c>
      <c r="AV69" s="181">
        <v>2070.8918371058949</v>
      </c>
      <c r="AW69" s="182">
        <v>2298.3786631301355</v>
      </c>
      <c r="AX69" s="183">
        <v>0.94499999999999995</v>
      </c>
      <c r="AY69" s="184">
        <v>0</v>
      </c>
      <c r="AZ69" s="182">
        <v>1373.9</v>
      </c>
      <c r="BA69" s="178">
        <v>11606.50554833541</v>
      </c>
      <c r="BB69" s="178">
        <v>7150</v>
      </c>
      <c r="BC69" s="180">
        <v>210</v>
      </c>
      <c r="BD69" s="185"/>
    </row>
    <row r="70" spans="1:56" x14ac:dyDescent="0.2">
      <c r="A70" s="148">
        <v>78</v>
      </c>
      <c r="B70" s="149" t="s">
        <v>95</v>
      </c>
      <c r="C70" s="150">
        <v>2722900</v>
      </c>
      <c r="D70" s="151">
        <v>0</v>
      </c>
      <c r="E70" s="151">
        <v>907600</v>
      </c>
      <c r="F70" s="151">
        <v>246900</v>
      </c>
      <c r="G70" s="152"/>
      <c r="H70" s="152"/>
      <c r="I70" s="151">
        <v>0</v>
      </c>
      <c r="J70" s="151">
        <v>149400</v>
      </c>
      <c r="K70" s="153">
        <v>0</v>
      </c>
      <c r="L70" s="154">
        <v>1.42</v>
      </c>
      <c r="M70" s="155">
        <v>1.42</v>
      </c>
      <c r="N70" s="151">
        <v>12722</v>
      </c>
      <c r="O70" s="151">
        <v>12726</v>
      </c>
      <c r="P70" s="151">
        <v>507</v>
      </c>
      <c r="Q70" s="156">
        <v>2371.2239999999997</v>
      </c>
      <c r="R70" s="157">
        <v>1539</v>
      </c>
      <c r="S70" s="158">
        <v>47</v>
      </c>
      <c r="T70" s="164">
        <v>207085.9</v>
      </c>
      <c r="U70" s="208">
        <v>128565.75</v>
      </c>
      <c r="V70" s="209">
        <v>47844.65</v>
      </c>
      <c r="W70" s="164">
        <v>2277882.69</v>
      </c>
      <c r="X70" s="208">
        <v>77514.350000000006</v>
      </c>
      <c r="Y70" s="208">
        <v>213877.09</v>
      </c>
      <c r="Z70" s="209">
        <v>48714.3</v>
      </c>
      <c r="AA70" s="163">
        <v>409982.30000000005</v>
      </c>
      <c r="AB70" s="208">
        <v>1624.6645061476938</v>
      </c>
      <c r="AC70" s="208">
        <v>55.058030707959958</v>
      </c>
      <c r="AD70" s="208">
        <v>168.51151548498663</v>
      </c>
      <c r="AE70" s="208">
        <v>81.625637655099126</v>
      </c>
      <c r="AF70" s="208">
        <v>47.646106482209298</v>
      </c>
      <c r="AG70" s="208">
        <v>37.532591835665251</v>
      </c>
      <c r="AH70" s="163">
        <v>2015.038388313614</v>
      </c>
      <c r="AI70" s="208">
        <v>1678.6274571149283</v>
      </c>
      <c r="AJ70" s="208">
        <v>64.176489077479161</v>
      </c>
      <c r="AK70" s="208">
        <v>132.17982083922678</v>
      </c>
      <c r="AL70" s="208">
        <v>84.212412655418362</v>
      </c>
      <c r="AM70" s="208">
        <v>39.856404211849757</v>
      </c>
      <c r="AN70" s="208">
        <v>31.249688302163555</v>
      </c>
      <c r="AO70" s="163">
        <v>2030.302272201066</v>
      </c>
      <c r="AP70" s="159">
        <v>1651.6459816313111</v>
      </c>
      <c r="AQ70" s="160">
        <v>59.617259892719559</v>
      </c>
      <c r="AR70" s="161">
        <v>150.3456681621067</v>
      </c>
      <c r="AS70" s="161">
        <v>82.919025155258737</v>
      </c>
      <c r="AT70" s="160">
        <v>43.751255347029527</v>
      </c>
      <c r="AU70" s="162">
        <v>34.391140068914403</v>
      </c>
      <c r="AV70" s="163">
        <v>2022.6703302573399</v>
      </c>
      <c r="AW70" s="164">
        <v>2298.3786631301355</v>
      </c>
      <c r="AX70" s="165">
        <v>0.94499999999999995</v>
      </c>
      <c r="AY70" s="166">
        <v>0</v>
      </c>
      <c r="AZ70" s="164">
        <v>1373.9</v>
      </c>
      <c r="BA70" s="160">
        <v>11606.50554833541</v>
      </c>
      <c r="BB70" s="160">
        <v>7150</v>
      </c>
      <c r="BC70" s="162">
        <v>210</v>
      </c>
      <c r="BD70" s="167"/>
    </row>
    <row r="71" spans="1:56" x14ac:dyDescent="0.2">
      <c r="A71" s="168">
        <v>79</v>
      </c>
      <c r="B71" s="169" t="s">
        <v>96</v>
      </c>
      <c r="C71" s="170">
        <v>4095000</v>
      </c>
      <c r="D71" s="104">
        <v>0</v>
      </c>
      <c r="E71" s="104">
        <v>1443900</v>
      </c>
      <c r="F71" s="104">
        <v>469100</v>
      </c>
      <c r="I71" s="104">
        <v>0</v>
      </c>
      <c r="J71" s="104">
        <v>0</v>
      </c>
      <c r="K71" s="171">
        <v>0</v>
      </c>
      <c r="L71" s="172">
        <v>1.49</v>
      </c>
      <c r="M71" s="173">
        <v>1.49</v>
      </c>
      <c r="N71" s="104">
        <v>10045</v>
      </c>
      <c r="O71" s="104">
        <v>10126</v>
      </c>
      <c r="P71" s="104">
        <v>445</v>
      </c>
      <c r="Q71" s="174">
        <v>1952.7109999999998</v>
      </c>
      <c r="R71" s="175">
        <v>1287</v>
      </c>
      <c r="S71" s="176">
        <v>37</v>
      </c>
      <c r="T71" s="182">
        <v>429745.8</v>
      </c>
      <c r="U71" s="207">
        <v>64571.95</v>
      </c>
      <c r="V71" s="210">
        <v>39077.5</v>
      </c>
      <c r="W71" s="182">
        <v>1729513.75</v>
      </c>
      <c r="X71" s="207">
        <v>58561.95</v>
      </c>
      <c r="Y71" s="207">
        <v>268811.09000000003</v>
      </c>
      <c r="Z71" s="210">
        <v>175725.85</v>
      </c>
      <c r="AA71" s="181">
        <v>415171.95</v>
      </c>
      <c r="AB71" s="207">
        <v>1531.6207651858995</v>
      </c>
      <c r="AC71" s="207">
        <v>46.598619545379123</v>
      </c>
      <c r="AD71" s="207">
        <v>113.34115148498422</v>
      </c>
      <c r="AE71" s="207">
        <v>74.862645157562071</v>
      </c>
      <c r="AF71" s="207">
        <v>52.453359880537583</v>
      </c>
      <c r="AG71" s="207">
        <v>39.668262817322052</v>
      </c>
      <c r="AH71" s="181">
        <v>1858.5448040716847</v>
      </c>
      <c r="AI71" s="207">
        <v>1603.3260551829287</v>
      </c>
      <c r="AJ71" s="207">
        <v>44.149055237342814</v>
      </c>
      <c r="AK71" s="207">
        <v>114.30155704786358</v>
      </c>
      <c r="AL71" s="207">
        <v>76.760316721112858</v>
      </c>
      <c r="AM71" s="207">
        <v>55.788103232602545</v>
      </c>
      <c r="AN71" s="207">
        <v>44.48465665942458</v>
      </c>
      <c r="AO71" s="181">
        <v>1938.8097440812749</v>
      </c>
      <c r="AP71" s="177">
        <v>1567.4734101844142</v>
      </c>
      <c r="AQ71" s="178">
        <v>45.373837391360965</v>
      </c>
      <c r="AR71" s="179">
        <v>113.8213542664239</v>
      </c>
      <c r="AS71" s="179">
        <v>75.811480939337457</v>
      </c>
      <c r="AT71" s="178">
        <v>54.120731556570064</v>
      </c>
      <c r="AU71" s="180">
        <v>42.076459738373316</v>
      </c>
      <c r="AV71" s="181">
        <v>1898.67727407648</v>
      </c>
      <c r="AW71" s="182">
        <v>2298.3786631301355</v>
      </c>
      <c r="AX71" s="183">
        <v>0.94499999999999995</v>
      </c>
      <c r="AY71" s="184">
        <v>0</v>
      </c>
      <c r="AZ71" s="182">
        <v>1373.9</v>
      </c>
      <c r="BA71" s="178">
        <v>11606.50554833541</v>
      </c>
      <c r="BB71" s="178">
        <v>7150</v>
      </c>
      <c r="BC71" s="180">
        <v>210</v>
      </c>
      <c r="BD71" s="185"/>
    </row>
    <row r="72" spans="1:56" x14ac:dyDescent="0.2">
      <c r="A72" s="148">
        <v>80</v>
      </c>
      <c r="B72" s="149" t="s">
        <v>97</v>
      </c>
      <c r="C72" s="150">
        <v>2553900</v>
      </c>
      <c r="D72" s="151">
        <v>615800</v>
      </c>
      <c r="E72" s="151">
        <v>663900</v>
      </c>
      <c r="F72" s="151">
        <v>314900</v>
      </c>
      <c r="G72" s="152"/>
      <c r="H72" s="152"/>
      <c r="I72" s="151">
        <v>727600</v>
      </c>
      <c r="J72" s="151">
        <v>0</v>
      </c>
      <c r="K72" s="153">
        <v>0</v>
      </c>
      <c r="L72" s="154">
        <v>1.57</v>
      </c>
      <c r="M72" s="155">
        <v>1.57</v>
      </c>
      <c r="N72" s="151">
        <v>3887</v>
      </c>
      <c r="O72" s="151">
        <v>3962</v>
      </c>
      <c r="P72" s="151">
        <v>200</v>
      </c>
      <c r="Q72" s="156">
        <v>1452.5502000000001</v>
      </c>
      <c r="R72" s="157">
        <v>513</v>
      </c>
      <c r="S72" s="158">
        <v>13</v>
      </c>
      <c r="T72" s="164">
        <v>250052.55</v>
      </c>
      <c r="U72" s="208">
        <v>64796.55</v>
      </c>
      <c r="V72" s="209">
        <v>8528.75</v>
      </c>
      <c r="W72" s="164">
        <v>872240.53999999992</v>
      </c>
      <c r="X72" s="208">
        <v>12626</v>
      </c>
      <c r="Y72" s="208">
        <v>64480.05</v>
      </c>
      <c r="Z72" s="209">
        <v>75526.720000000001</v>
      </c>
      <c r="AA72" s="163">
        <v>150499.85</v>
      </c>
      <c r="AB72" s="208">
        <v>1411.8246762455406</v>
      </c>
      <c r="AC72" s="208">
        <v>41.967138324328957</v>
      </c>
      <c r="AD72" s="208">
        <v>133.14241488723093</v>
      </c>
      <c r="AE72" s="208">
        <v>76.537212731140684</v>
      </c>
      <c r="AF72" s="208">
        <v>71.194537346711272</v>
      </c>
      <c r="AG72" s="208">
        <v>53.574942114741454</v>
      </c>
      <c r="AH72" s="163">
        <v>1788.2409216496937</v>
      </c>
      <c r="AI72" s="208">
        <v>1352.4701146895839</v>
      </c>
      <c r="AJ72" s="208">
        <v>50.36236749116609</v>
      </c>
      <c r="AK72" s="208">
        <v>149.44020696617869</v>
      </c>
      <c r="AL72" s="208">
        <v>75.572498485242278</v>
      </c>
      <c r="AM72" s="208">
        <v>47.290089180548549</v>
      </c>
      <c r="AN72" s="208">
        <v>37.17318694262157</v>
      </c>
      <c r="AO72" s="163">
        <v>1712.3084637553413</v>
      </c>
      <c r="AP72" s="159">
        <v>1382.1473954675621</v>
      </c>
      <c r="AQ72" s="160">
        <v>46.164752907747527</v>
      </c>
      <c r="AR72" s="161">
        <v>141.2913109267048</v>
      </c>
      <c r="AS72" s="161">
        <v>76.054855608191474</v>
      </c>
      <c r="AT72" s="160">
        <v>59.24231326362991</v>
      </c>
      <c r="AU72" s="162">
        <v>45.374064528681515</v>
      </c>
      <c r="AV72" s="163">
        <v>1750.2746927025173</v>
      </c>
      <c r="AW72" s="164">
        <v>2298.3786631301355</v>
      </c>
      <c r="AX72" s="165">
        <v>0.94499999999999995</v>
      </c>
      <c r="AY72" s="166">
        <v>0</v>
      </c>
      <c r="AZ72" s="164">
        <v>1373.9</v>
      </c>
      <c r="BA72" s="160">
        <v>11606.50554833541</v>
      </c>
      <c r="BB72" s="160">
        <v>7150</v>
      </c>
      <c r="BC72" s="162">
        <v>210</v>
      </c>
      <c r="BD72" s="167"/>
    </row>
    <row r="73" spans="1:56" x14ac:dyDescent="0.2">
      <c r="A73" s="168">
        <v>81</v>
      </c>
      <c r="B73" s="169" t="s">
        <v>98</v>
      </c>
      <c r="C73" s="170">
        <v>0</v>
      </c>
      <c r="D73" s="104">
        <v>0</v>
      </c>
      <c r="E73" s="104">
        <v>0</v>
      </c>
      <c r="F73" s="104">
        <v>1572600</v>
      </c>
      <c r="I73" s="104">
        <v>0</v>
      </c>
      <c r="J73" s="104">
        <v>0</v>
      </c>
      <c r="K73" s="171">
        <v>0</v>
      </c>
      <c r="L73" s="172">
        <v>1.2842</v>
      </c>
      <c r="M73" s="173">
        <v>1.2719</v>
      </c>
      <c r="N73" s="104">
        <v>22823</v>
      </c>
      <c r="O73" s="104">
        <v>22985</v>
      </c>
      <c r="P73" s="104">
        <v>1074</v>
      </c>
      <c r="Q73" s="174">
        <v>3158.9049999999997</v>
      </c>
      <c r="R73" s="175">
        <v>2389</v>
      </c>
      <c r="S73" s="176">
        <v>57</v>
      </c>
      <c r="T73" s="182">
        <v>592685.30000000005</v>
      </c>
      <c r="U73" s="207">
        <v>396462.4</v>
      </c>
      <c r="V73" s="210">
        <v>147488.6</v>
      </c>
      <c r="W73" s="182">
        <v>4485173.0999999996</v>
      </c>
      <c r="X73" s="207">
        <v>205840.85</v>
      </c>
      <c r="Y73" s="207">
        <v>478726.32</v>
      </c>
      <c r="Z73" s="210">
        <v>622315.85</v>
      </c>
      <c r="AA73" s="181">
        <v>1027550.6499999999</v>
      </c>
      <c r="AB73" s="207">
        <v>2130.1011737976487</v>
      </c>
      <c r="AC73" s="207">
        <v>58.00061633732053</v>
      </c>
      <c r="AD73" s="207">
        <v>206.81403700944952</v>
      </c>
      <c r="AE73" s="207">
        <v>94.023480203572035</v>
      </c>
      <c r="AF73" s="207">
        <v>97.836099548700858</v>
      </c>
      <c r="AG73" s="207">
        <v>53.795168616454163</v>
      </c>
      <c r="AH73" s="181">
        <v>2640.5705755131457</v>
      </c>
      <c r="AI73" s="207">
        <v>2124.7041669856894</v>
      </c>
      <c r="AJ73" s="207">
        <v>55.872168805742881</v>
      </c>
      <c r="AK73" s="207">
        <v>221.21039228482343</v>
      </c>
      <c r="AL73" s="207">
        <v>91.54516059119554</v>
      </c>
      <c r="AM73" s="207">
        <v>57.407407729678773</v>
      </c>
      <c r="AN73" s="207">
        <v>39.98166340366906</v>
      </c>
      <c r="AO73" s="181">
        <v>2590.7209598007989</v>
      </c>
      <c r="AP73" s="177">
        <v>2127.4026703916688</v>
      </c>
      <c r="AQ73" s="178">
        <v>56.936392571531705</v>
      </c>
      <c r="AR73" s="179">
        <v>214.01221464713649</v>
      </c>
      <c r="AS73" s="179">
        <v>92.784320397383794</v>
      </c>
      <c r="AT73" s="178">
        <v>77.621753639189819</v>
      </c>
      <c r="AU73" s="180">
        <v>46.888416010061611</v>
      </c>
      <c r="AV73" s="181">
        <v>2615.6457676569726</v>
      </c>
      <c r="AW73" s="182">
        <v>2298.3786631301355</v>
      </c>
      <c r="AX73" s="183">
        <v>0.94499999999999995</v>
      </c>
      <c r="AY73" s="184">
        <v>-0.40854926441423267</v>
      </c>
      <c r="AZ73" s="182">
        <v>1373.9</v>
      </c>
      <c r="BA73" s="178">
        <v>11606.50554833541</v>
      </c>
      <c r="BB73" s="178">
        <v>7150</v>
      </c>
      <c r="BC73" s="180">
        <v>210</v>
      </c>
      <c r="BD73" s="185"/>
    </row>
    <row r="74" spans="1:56" x14ac:dyDescent="0.2">
      <c r="A74" s="148">
        <v>83</v>
      </c>
      <c r="B74" s="149" t="s">
        <v>99</v>
      </c>
      <c r="C74" s="150">
        <v>0</v>
      </c>
      <c r="D74" s="151">
        <v>0</v>
      </c>
      <c r="E74" s="151">
        <v>267900</v>
      </c>
      <c r="F74" s="151">
        <v>5700</v>
      </c>
      <c r="G74" s="152"/>
      <c r="H74" s="152"/>
      <c r="I74" s="151">
        <v>0</v>
      </c>
      <c r="J74" s="151">
        <v>0</v>
      </c>
      <c r="K74" s="153">
        <v>0</v>
      </c>
      <c r="L74" s="154">
        <v>1.03</v>
      </c>
      <c r="M74" s="155">
        <v>1.03</v>
      </c>
      <c r="N74" s="151">
        <v>4643</v>
      </c>
      <c r="O74" s="151">
        <v>4720</v>
      </c>
      <c r="P74" s="151">
        <v>114</v>
      </c>
      <c r="Q74" s="156">
        <v>871.25099999999998</v>
      </c>
      <c r="R74" s="157">
        <v>594</v>
      </c>
      <c r="S74" s="158">
        <v>9</v>
      </c>
      <c r="T74" s="164">
        <v>157634.4</v>
      </c>
      <c r="U74" s="208">
        <v>0</v>
      </c>
      <c r="V74" s="209">
        <v>7954.75</v>
      </c>
      <c r="W74" s="164">
        <v>246957.25</v>
      </c>
      <c r="X74" s="208">
        <v>0</v>
      </c>
      <c r="Y74" s="208">
        <v>38064.699999999997</v>
      </c>
      <c r="Z74" s="209">
        <v>25108.65</v>
      </c>
      <c r="AA74" s="163">
        <v>57086.149999999994</v>
      </c>
      <c r="AB74" s="208">
        <v>2248.5467795268919</v>
      </c>
      <c r="AC74" s="208">
        <v>31.387228085289681</v>
      </c>
      <c r="AD74" s="208">
        <v>101.91096991887429</v>
      </c>
      <c r="AE74" s="208">
        <v>98.393148386987193</v>
      </c>
      <c r="AF74" s="208">
        <v>81.019075310503268</v>
      </c>
      <c r="AG74" s="208">
        <v>100.14535860435063</v>
      </c>
      <c r="AH74" s="163">
        <v>2661.4025598328976</v>
      </c>
      <c r="AI74" s="208">
        <v>2398.9930385206753</v>
      </c>
      <c r="AJ74" s="208">
        <v>22.309081920903957</v>
      </c>
      <c r="AK74" s="208">
        <v>162.96567796610171</v>
      </c>
      <c r="AL74" s="208">
        <v>101.56730712283272</v>
      </c>
      <c r="AM74" s="208">
        <v>92.694851694915258</v>
      </c>
      <c r="AN74" s="208">
        <v>66.465063559322047</v>
      </c>
      <c r="AO74" s="163">
        <v>2844.9950207847505</v>
      </c>
      <c r="AP74" s="159">
        <v>2323.7699090237838</v>
      </c>
      <c r="AQ74" s="160">
        <v>26.848155003096821</v>
      </c>
      <c r="AR74" s="161">
        <v>132.43832394248801</v>
      </c>
      <c r="AS74" s="161">
        <v>99.980227754909947</v>
      </c>
      <c r="AT74" s="160">
        <v>86.856963502709263</v>
      </c>
      <c r="AU74" s="162">
        <v>83.305211081836347</v>
      </c>
      <c r="AV74" s="163">
        <v>2753.1987903088243</v>
      </c>
      <c r="AW74" s="164">
        <v>2298.3786631301355</v>
      </c>
      <c r="AX74" s="165">
        <v>0.94499999999999995</v>
      </c>
      <c r="AY74" s="166">
        <v>-0.53521138190074702</v>
      </c>
      <c r="AZ74" s="164">
        <v>1373.9</v>
      </c>
      <c r="BA74" s="160">
        <v>11606.50554833541</v>
      </c>
      <c r="BB74" s="160">
        <v>7150</v>
      </c>
      <c r="BC74" s="162">
        <v>210</v>
      </c>
      <c r="BD74" s="167"/>
    </row>
    <row r="75" spans="1:56" x14ac:dyDescent="0.2">
      <c r="A75" s="168">
        <v>84</v>
      </c>
      <c r="B75" s="169" t="s">
        <v>100</v>
      </c>
      <c r="C75" s="170">
        <v>0</v>
      </c>
      <c r="D75" s="104">
        <v>801500</v>
      </c>
      <c r="E75" s="104">
        <v>902100</v>
      </c>
      <c r="F75" s="104">
        <v>0</v>
      </c>
      <c r="I75" s="104">
        <v>0</v>
      </c>
      <c r="J75" s="104">
        <v>0</v>
      </c>
      <c r="K75" s="171">
        <v>0</v>
      </c>
      <c r="L75" s="172">
        <v>1.1200000000000001</v>
      </c>
      <c r="M75" s="173">
        <v>1.1200000000000001</v>
      </c>
      <c r="N75" s="104">
        <v>4134</v>
      </c>
      <c r="O75" s="104">
        <v>4172</v>
      </c>
      <c r="P75" s="104">
        <v>126</v>
      </c>
      <c r="Q75" s="174">
        <v>1687.1057999999998</v>
      </c>
      <c r="R75" s="175">
        <v>565</v>
      </c>
      <c r="S75" s="176">
        <v>6</v>
      </c>
      <c r="T75" s="182">
        <v>0</v>
      </c>
      <c r="U75" s="207">
        <v>5160</v>
      </c>
      <c r="V75" s="210">
        <v>4829.75</v>
      </c>
      <c r="W75" s="182">
        <v>135274.29999999999</v>
      </c>
      <c r="X75" s="207">
        <v>0</v>
      </c>
      <c r="Y75" s="207">
        <v>17393.25</v>
      </c>
      <c r="Z75" s="210">
        <v>0</v>
      </c>
      <c r="AA75" s="181">
        <v>83034.400000000009</v>
      </c>
      <c r="AB75" s="207">
        <v>1719.7763192997006</v>
      </c>
      <c r="AC75" s="207">
        <v>30.586381228834064</v>
      </c>
      <c r="AD75" s="207">
        <v>303.97597968069664</v>
      </c>
      <c r="AE75" s="207">
        <v>97.802902936919011</v>
      </c>
      <c r="AF75" s="207">
        <v>45.84379132398</v>
      </c>
      <c r="AG75" s="207">
        <v>24.057281083696175</v>
      </c>
      <c r="AH75" s="181">
        <v>2222.0426555538265</v>
      </c>
      <c r="AI75" s="207">
        <v>1735.8109480862208</v>
      </c>
      <c r="AJ75" s="207">
        <v>35.912551933525087</v>
      </c>
      <c r="AK75" s="207">
        <v>321.52417705337172</v>
      </c>
      <c r="AL75" s="207">
        <v>99.681867721978492</v>
      </c>
      <c r="AM75" s="207">
        <v>56.152484819431123</v>
      </c>
      <c r="AN75" s="207">
        <v>31.924704378395653</v>
      </c>
      <c r="AO75" s="181">
        <v>2281.0067339929233</v>
      </c>
      <c r="AP75" s="177">
        <v>1727.7936336929606</v>
      </c>
      <c r="AQ75" s="178">
        <v>33.249466581179576</v>
      </c>
      <c r="AR75" s="179">
        <v>312.75007836703418</v>
      </c>
      <c r="AS75" s="179">
        <v>98.742385329448751</v>
      </c>
      <c r="AT75" s="178">
        <v>50.998138071705561</v>
      </c>
      <c r="AU75" s="180">
        <v>27.990992731045914</v>
      </c>
      <c r="AV75" s="181">
        <v>2251.5246947733744</v>
      </c>
      <c r="AW75" s="182">
        <v>2298.3786631301355</v>
      </c>
      <c r="AX75" s="183">
        <v>0.94499999999999995</v>
      </c>
      <c r="AY75" s="184">
        <v>-7.3257860243281667E-2</v>
      </c>
      <c r="AZ75" s="182">
        <v>1373.9</v>
      </c>
      <c r="BA75" s="178">
        <v>11606.50554833541</v>
      </c>
      <c r="BB75" s="178">
        <v>7150</v>
      </c>
      <c r="BC75" s="180">
        <v>210</v>
      </c>
      <c r="BD75" s="185"/>
    </row>
    <row r="76" spans="1:56" x14ac:dyDescent="0.2">
      <c r="A76" s="148">
        <v>85</v>
      </c>
      <c r="B76" s="149" t="s">
        <v>101</v>
      </c>
      <c r="C76" s="150">
        <v>1155700</v>
      </c>
      <c r="D76" s="151">
        <v>452100</v>
      </c>
      <c r="E76" s="151">
        <v>320600</v>
      </c>
      <c r="F76" s="151">
        <v>28900</v>
      </c>
      <c r="G76" s="152"/>
      <c r="H76" s="152"/>
      <c r="I76" s="151">
        <v>0</v>
      </c>
      <c r="J76" s="151">
        <v>0</v>
      </c>
      <c r="K76" s="153">
        <v>0</v>
      </c>
      <c r="L76" s="154">
        <v>1.57</v>
      </c>
      <c r="M76" s="155">
        <v>1.57</v>
      </c>
      <c r="N76" s="151">
        <v>1432</v>
      </c>
      <c r="O76" s="151">
        <v>1460</v>
      </c>
      <c r="P76" s="151">
        <v>46</v>
      </c>
      <c r="Q76" s="156">
        <v>699.19699999999989</v>
      </c>
      <c r="R76" s="157">
        <v>196</v>
      </c>
      <c r="S76" s="158">
        <v>4</v>
      </c>
      <c r="T76" s="164">
        <v>37630</v>
      </c>
      <c r="U76" s="208">
        <v>54296.4</v>
      </c>
      <c r="V76" s="209">
        <v>8703.75</v>
      </c>
      <c r="W76" s="164">
        <v>94901.3</v>
      </c>
      <c r="X76" s="208">
        <v>21170</v>
      </c>
      <c r="Y76" s="208">
        <v>-46683</v>
      </c>
      <c r="Z76" s="209">
        <v>0</v>
      </c>
      <c r="AA76" s="163">
        <v>36327.550000000003</v>
      </c>
      <c r="AB76" s="208">
        <v>1341.5126344827333</v>
      </c>
      <c r="AC76" s="208">
        <v>38.79641527001862</v>
      </c>
      <c r="AD76" s="208">
        <v>25.523882681564249</v>
      </c>
      <c r="AE76" s="208">
        <v>85.832561337091576</v>
      </c>
      <c r="AF76" s="208">
        <v>52.335940409683424</v>
      </c>
      <c r="AG76" s="208">
        <v>44.948696461824952</v>
      </c>
      <c r="AH76" s="163">
        <v>1588.9501306429161</v>
      </c>
      <c r="AI76" s="208">
        <v>1418.0618462557525</v>
      </c>
      <c r="AJ76" s="208">
        <v>33.792990867579903</v>
      </c>
      <c r="AK76" s="208">
        <v>38.658630136986304</v>
      </c>
      <c r="AL76" s="208">
        <v>89.37659931541971</v>
      </c>
      <c r="AM76" s="208">
        <v>60.029680365296798</v>
      </c>
      <c r="AN76" s="208">
        <v>79.122077625570782</v>
      </c>
      <c r="AO76" s="163">
        <v>1719.041824566606</v>
      </c>
      <c r="AP76" s="159">
        <v>1379.7872403692429</v>
      </c>
      <c r="AQ76" s="160">
        <v>36.294703068799265</v>
      </c>
      <c r="AR76" s="161">
        <v>32.091256409275275</v>
      </c>
      <c r="AS76" s="161">
        <v>87.604580326255643</v>
      </c>
      <c r="AT76" s="160">
        <v>56.182810387490107</v>
      </c>
      <c r="AU76" s="162">
        <v>62.035387043697867</v>
      </c>
      <c r="AV76" s="163">
        <v>1653.995977604761</v>
      </c>
      <c r="AW76" s="164">
        <v>2298.3786631301355</v>
      </c>
      <c r="AX76" s="165">
        <v>0.94499999999999995</v>
      </c>
      <c r="AY76" s="166">
        <v>0</v>
      </c>
      <c r="AZ76" s="164">
        <v>1373.9</v>
      </c>
      <c r="BA76" s="160">
        <v>11606.50554833541</v>
      </c>
      <c r="BB76" s="160">
        <v>7150</v>
      </c>
      <c r="BC76" s="162">
        <v>210</v>
      </c>
      <c r="BD76" s="167"/>
    </row>
    <row r="77" spans="1:56" x14ac:dyDescent="0.2">
      <c r="A77" s="168">
        <v>86</v>
      </c>
      <c r="B77" s="169" t="s">
        <v>102</v>
      </c>
      <c r="C77" s="170">
        <v>1395700</v>
      </c>
      <c r="D77" s="104">
        <v>731200</v>
      </c>
      <c r="E77" s="104">
        <v>1883100</v>
      </c>
      <c r="F77" s="104">
        <v>0</v>
      </c>
      <c r="I77" s="104">
        <v>0</v>
      </c>
      <c r="J77" s="104">
        <v>0</v>
      </c>
      <c r="K77" s="171">
        <v>0</v>
      </c>
      <c r="L77" s="172">
        <v>1.29</v>
      </c>
      <c r="M77" s="173">
        <v>1.29</v>
      </c>
      <c r="N77" s="104">
        <v>2932</v>
      </c>
      <c r="O77" s="104">
        <v>2926</v>
      </c>
      <c r="P77" s="104">
        <v>90</v>
      </c>
      <c r="Q77" s="174">
        <v>1273.9129999999998</v>
      </c>
      <c r="R77" s="175">
        <v>498</v>
      </c>
      <c r="S77" s="176">
        <v>11</v>
      </c>
      <c r="T77" s="182">
        <v>0</v>
      </c>
      <c r="U77" s="207">
        <v>51667.95</v>
      </c>
      <c r="V77" s="210">
        <v>20658.5</v>
      </c>
      <c r="W77" s="182">
        <v>159116.9</v>
      </c>
      <c r="X77" s="207">
        <v>0</v>
      </c>
      <c r="Y77" s="207">
        <v>53486</v>
      </c>
      <c r="Z77" s="210">
        <v>0</v>
      </c>
      <c r="AA77" s="181">
        <v>67465.45</v>
      </c>
      <c r="AB77" s="207">
        <v>1520.0338866120308</v>
      </c>
      <c r="AC77" s="207">
        <v>21.973954070031834</v>
      </c>
      <c r="AD77" s="207">
        <v>52.13307185084129</v>
      </c>
      <c r="AE77" s="207">
        <v>84.42067495220823</v>
      </c>
      <c r="AF77" s="207">
        <v>41.714790814006363</v>
      </c>
      <c r="AG77" s="207">
        <v>26.486948613005907</v>
      </c>
      <c r="AH77" s="181">
        <v>1746.7633269121245</v>
      </c>
      <c r="AI77" s="207">
        <v>1640.3922832922599</v>
      </c>
      <c r="AJ77" s="207">
        <v>26.260503531556164</v>
      </c>
      <c r="AK77" s="207">
        <v>8.4589086352244252</v>
      </c>
      <c r="AL77" s="207">
        <v>87.002322022089459</v>
      </c>
      <c r="AM77" s="207">
        <v>53.341752107541581</v>
      </c>
      <c r="AN77" s="207">
        <v>63.547562087035764</v>
      </c>
      <c r="AO77" s="181">
        <v>1879.0033316757072</v>
      </c>
      <c r="AP77" s="177">
        <v>1580.2130849521454</v>
      </c>
      <c r="AQ77" s="178">
        <v>24.117228800793999</v>
      </c>
      <c r="AR77" s="179">
        <v>30.295990243032858</v>
      </c>
      <c r="AS77" s="179">
        <v>85.711498487148845</v>
      </c>
      <c r="AT77" s="178">
        <v>47.528271460773972</v>
      </c>
      <c r="AU77" s="180">
        <v>45.017255350020832</v>
      </c>
      <c r="AV77" s="181">
        <v>1812.8833292939159</v>
      </c>
      <c r="AW77" s="182">
        <v>2298.3786631301355</v>
      </c>
      <c r="AX77" s="183">
        <v>0.94499999999999995</v>
      </c>
      <c r="AY77" s="184">
        <v>0</v>
      </c>
      <c r="AZ77" s="182">
        <v>1373.9</v>
      </c>
      <c r="BA77" s="178">
        <v>11606.50554833541</v>
      </c>
      <c r="BB77" s="178">
        <v>7150</v>
      </c>
      <c r="BC77" s="180">
        <v>210</v>
      </c>
      <c r="BD77" s="185"/>
    </row>
    <row r="78" spans="1:56" x14ac:dyDescent="0.2">
      <c r="A78" s="148">
        <v>87</v>
      </c>
      <c r="B78" s="149" t="s">
        <v>103</v>
      </c>
      <c r="C78" s="150">
        <v>0</v>
      </c>
      <c r="D78" s="151">
        <v>0</v>
      </c>
      <c r="E78" s="151">
        <v>83400</v>
      </c>
      <c r="F78" s="151">
        <v>2500</v>
      </c>
      <c r="G78" s="152"/>
      <c r="H78" s="152"/>
      <c r="I78" s="151">
        <v>0</v>
      </c>
      <c r="J78" s="151">
        <v>0</v>
      </c>
      <c r="K78" s="153">
        <v>0</v>
      </c>
      <c r="L78" s="154">
        <v>1.1599999999999999</v>
      </c>
      <c r="M78" s="155">
        <v>1.1599999999999999</v>
      </c>
      <c r="N78" s="151">
        <v>17983</v>
      </c>
      <c r="O78" s="151">
        <v>17941</v>
      </c>
      <c r="P78" s="151">
        <v>814</v>
      </c>
      <c r="Q78" s="156">
        <v>3056.5376000000001</v>
      </c>
      <c r="R78" s="157">
        <v>1930</v>
      </c>
      <c r="S78" s="158">
        <v>64</v>
      </c>
      <c r="T78" s="164">
        <v>419152.9</v>
      </c>
      <c r="U78" s="208">
        <v>35787</v>
      </c>
      <c r="V78" s="209">
        <v>71085.8</v>
      </c>
      <c r="W78" s="164">
        <v>1417868.5499999998</v>
      </c>
      <c r="X78" s="208">
        <v>26476</v>
      </c>
      <c r="Y78" s="208">
        <v>161362</v>
      </c>
      <c r="Z78" s="209">
        <v>294592</v>
      </c>
      <c r="AA78" s="163">
        <v>612378.65</v>
      </c>
      <c r="AB78" s="208">
        <v>1889.4977781706962</v>
      </c>
      <c r="AC78" s="208">
        <v>34.452790598528239</v>
      </c>
      <c r="AD78" s="208">
        <v>197.86334501102894</v>
      </c>
      <c r="AE78" s="208">
        <v>89.830444904459554</v>
      </c>
      <c r="AF78" s="208">
        <v>69.703868468368285</v>
      </c>
      <c r="AG78" s="208">
        <v>50.578264657361586</v>
      </c>
      <c r="AH78" s="163">
        <v>2331.9264918104427</v>
      </c>
      <c r="AI78" s="208">
        <v>1889.5316387789244</v>
      </c>
      <c r="AJ78" s="208">
        <v>37.153269048548012</v>
      </c>
      <c r="AK78" s="208">
        <v>187.90488638686065</v>
      </c>
      <c r="AL78" s="208">
        <v>90.742211931428884</v>
      </c>
      <c r="AM78" s="208">
        <v>51.280419151663786</v>
      </c>
      <c r="AN78" s="208">
        <v>30.813163517455365</v>
      </c>
      <c r="AO78" s="163">
        <v>2287.4255888148809</v>
      </c>
      <c r="AP78" s="159">
        <v>1889.5147084748103</v>
      </c>
      <c r="AQ78" s="160">
        <v>35.803029823538125</v>
      </c>
      <c r="AR78" s="161">
        <v>192.88411569894481</v>
      </c>
      <c r="AS78" s="161">
        <v>90.286328417944219</v>
      </c>
      <c r="AT78" s="160">
        <v>60.492143810016032</v>
      </c>
      <c r="AU78" s="162">
        <v>40.695714087408476</v>
      </c>
      <c r="AV78" s="163">
        <v>2309.6760403126618</v>
      </c>
      <c r="AW78" s="164">
        <v>2298.3786631301355</v>
      </c>
      <c r="AX78" s="165">
        <v>0.94499999999999995</v>
      </c>
      <c r="AY78" s="166">
        <v>-0.12680501187032003</v>
      </c>
      <c r="AZ78" s="164">
        <v>1373.9</v>
      </c>
      <c r="BA78" s="160">
        <v>11606.50554833541</v>
      </c>
      <c r="BB78" s="160">
        <v>7150</v>
      </c>
      <c r="BC78" s="162">
        <v>210</v>
      </c>
      <c r="BD78" s="167"/>
    </row>
    <row r="79" spans="1:56" x14ac:dyDescent="0.2">
      <c r="A79" s="168">
        <v>88</v>
      </c>
      <c r="B79" s="169" t="s">
        <v>104</v>
      </c>
      <c r="C79" s="170">
        <v>218300</v>
      </c>
      <c r="D79" s="104">
        <v>240600</v>
      </c>
      <c r="E79" s="104">
        <v>1037400</v>
      </c>
      <c r="F79" s="104">
        <v>0</v>
      </c>
      <c r="I79" s="104">
        <v>0</v>
      </c>
      <c r="J79" s="104">
        <v>0</v>
      </c>
      <c r="K79" s="171">
        <v>0</v>
      </c>
      <c r="L79" s="172">
        <v>1.37</v>
      </c>
      <c r="M79" s="173">
        <v>1.37</v>
      </c>
      <c r="N79" s="104">
        <v>1865</v>
      </c>
      <c r="O79" s="104">
        <v>1887</v>
      </c>
      <c r="P79" s="104">
        <v>67</v>
      </c>
      <c r="Q79" s="174">
        <v>653.50980000000004</v>
      </c>
      <c r="R79" s="175">
        <v>307</v>
      </c>
      <c r="S79" s="176">
        <v>4</v>
      </c>
      <c r="T79" s="182">
        <v>21715</v>
      </c>
      <c r="U79" s="207">
        <v>0</v>
      </c>
      <c r="V79" s="210">
        <v>0</v>
      </c>
      <c r="W79" s="182">
        <v>62748.75</v>
      </c>
      <c r="X79" s="207">
        <v>6236.55</v>
      </c>
      <c r="Y79" s="207">
        <v>12180</v>
      </c>
      <c r="Z79" s="210">
        <v>0</v>
      </c>
      <c r="AA79" s="181">
        <v>57086.149999999994</v>
      </c>
      <c r="AB79" s="207">
        <v>1739.0637613114263</v>
      </c>
      <c r="AC79" s="207">
        <v>24.129401251117073</v>
      </c>
      <c r="AD79" s="207">
        <v>58.534906166219834</v>
      </c>
      <c r="AE79" s="207">
        <v>93.781367280523298</v>
      </c>
      <c r="AF79" s="207">
        <v>30.783628239499553</v>
      </c>
      <c r="AG79" s="207">
        <v>28.730330652368188</v>
      </c>
      <c r="AH79" s="181">
        <v>1975.0233949011542</v>
      </c>
      <c r="AI79" s="207">
        <v>1895.1984641120553</v>
      </c>
      <c r="AJ79" s="207">
        <v>25.092139198021552</v>
      </c>
      <c r="AK79" s="207">
        <v>73.754407348524992</v>
      </c>
      <c r="AL79" s="207">
        <v>93.796990318962315</v>
      </c>
      <c r="AM79" s="207">
        <v>78.974739445327685</v>
      </c>
      <c r="AN79" s="207">
        <v>33.900353294470939</v>
      </c>
      <c r="AO79" s="181">
        <v>2200.7170937173623</v>
      </c>
      <c r="AP79" s="177">
        <v>1817.1311127117408</v>
      </c>
      <c r="AQ79" s="178">
        <v>24.610770224569315</v>
      </c>
      <c r="AR79" s="179">
        <v>66.144656757372417</v>
      </c>
      <c r="AS79" s="179">
        <v>93.789178799742814</v>
      </c>
      <c r="AT79" s="178">
        <v>54.879183842413617</v>
      </c>
      <c r="AU79" s="180">
        <v>31.315341973419564</v>
      </c>
      <c r="AV79" s="181">
        <v>2087.8702443092584</v>
      </c>
      <c r="AW79" s="182">
        <v>2298.3786631301355</v>
      </c>
      <c r="AX79" s="183">
        <v>0.94499999999999995</v>
      </c>
      <c r="AY79" s="184">
        <v>0</v>
      </c>
      <c r="AZ79" s="182">
        <v>1373.9</v>
      </c>
      <c r="BA79" s="178">
        <v>11606.50554833541</v>
      </c>
      <c r="BB79" s="178">
        <v>7150</v>
      </c>
      <c r="BC79" s="180">
        <v>210</v>
      </c>
      <c r="BD79" s="185"/>
    </row>
    <row r="80" spans="1:56" x14ac:dyDescent="0.2">
      <c r="A80" s="148">
        <v>89</v>
      </c>
      <c r="B80" s="149" t="s">
        <v>105</v>
      </c>
      <c r="C80" s="150">
        <v>1614900</v>
      </c>
      <c r="D80" s="151">
        <v>1997800</v>
      </c>
      <c r="E80" s="151">
        <v>1629500</v>
      </c>
      <c r="F80" s="151">
        <v>0</v>
      </c>
      <c r="G80" s="152"/>
      <c r="H80" s="152"/>
      <c r="I80" s="151">
        <v>0</v>
      </c>
      <c r="J80" s="151">
        <v>0</v>
      </c>
      <c r="K80" s="153">
        <v>0</v>
      </c>
      <c r="L80" s="154">
        <v>1.45</v>
      </c>
      <c r="M80" s="155">
        <v>1.4</v>
      </c>
      <c r="N80" s="151">
        <v>3392</v>
      </c>
      <c r="O80" s="151">
        <v>3439</v>
      </c>
      <c r="P80" s="151">
        <v>126</v>
      </c>
      <c r="Q80" s="156">
        <v>2325.8575999999998</v>
      </c>
      <c r="R80" s="157">
        <v>537</v>
      </c>
      <c r="S80" s="158">
        <v>9</v>
      </c>
      <c r="T80" s="164">
        <v>17630.400000000001</v>
      </c>
      <c r="U80" s="208">
        <v>0</v>
      </c>
      <c r="V80" s="209">
        <v>26245.599999999999</v>
      </c>
      <c r="W80" s="164">
        <v>228937.25</v>
      </c>
      <c r="X80" s="208">
        <v>2950.4</v>
      </c>
      <c r="Y80" s="208">
        <v>60752</v>
      </c>
      <c r="Z80" s="209">
        <v>2699.2</v>
      </c>
      <c r="AA80" s="163">
        <v>72655.100000000006</v>
      </c>
      <c r="AB80" s="208">
        <v>1568.3199067770431</v>
      </c>
      <c r="AC80" s="208">
        <v>31.783746069182392</v>
      </c>
      <c r="AD80" s="208">
        <v>56.900108097484271</v>
      </c>
      <c r="AE80" s="208">
        <v>83.485311494065158</v>
      </c>
      <c r="AF80" s="208">
        <v>72.359286556603763</v>
      </c>
      <c r="AG80" s="208">
        <v>49.52785966981132</v>
      </c>
      <c r="AH80" s="163">
        <v>1862.37621866419</v>
      </c>
      <c r="AI80" s="208">
        <v>1557.5081227180749</v>
      </c>
      <c r="AJ80" s="208">
        <v>36.645197247261798</v>
      </c>
      <c r="AK80" s="208">
        <v>64.210031986042466</v>
      </c>
      <c r="AL80" s="208">
        <v>87.560332771705376</v>
      </c>
      <c r="AM80" s="208">
        <v>38.804865755549088</v>
      </c>
      <c r="AN80" s="208">
        <v>34.559309876902205</v>
      </c>
      <c r="AO80" s="163">
        <v>1819.2878603555359</v>
      </c>
      <c r="AP80" s="159">
        <v>1562.9140147475591</v>
      </c>
      <c r="AQ80" s="160">
        <v>34.214471658222095</v>
      </c>
      <c r="AR80" s="161">
        <v>60.555070041763372</v>
      </c>
      <c r="AS80" s="161">
        <v>85.522822132885267</v>
      </c>
      <c r="AT80" s="160">
        <v>55.582076156076425</v>
      </c>
      <c r="AU80" s="162">
        <v>42.043584773356763</v>
      </c>
      <c r="AV80" s="163">
        <v>1840.8320395098631</v>
      </c>
      <c r="AW80" s="164">
        <v>2298.3786631301355</v>
      </c>
      <c r="AX80" s="165">
        <v>0.94499999999999995</v>
      </c>
      <c r="AY80" s="166">
        <v>0</v>
      </c>
      <c r="AZ80" s="164">
        <v>1373.9</v>
      </c>
      <c r="BA80" s="160">
        <v>11606.50554833541</v>
      </c>
      <c r="BB80" s="160">
        <v>7150</v>
      </c>
      <c r="BC80" s="162">
        <v>210</v>
      </c>
      <c r="BD80" s="167"/>
    </row>
    <row r="81" spans="1:56" x14ac:dyDescent="0.2">
      <c r="A81" s="168">
        <v>90</v>
      </c>
      <c r="B81" s="169" t="s">
        <v>106</v>
      </c>
      <c r="C81" s="170">
        <v>0</v>
      </c>
      <c r="D81" s="104">
        <v>0</v>
      </c>
      <c r="E81" s="104">
        <v>184800</v>
      </c>
      <c r="F81" s="104">
        <v>0</v>
      </c>
      <c r="I81" s="104">
        <v>0</v>
      </c>
      <c r="J81" s="104">
        <v>0</v>
      </c>
      <c r="K81" s="171">
        <v>0</v>
      </c>
      <c r="L81" s="172">
        <v>1.19</v>
      </c>
      <c r="M81" s="173">
        <v>1.1499999999999999</v>
      </c>
      <c r="N81" s="104">
        <v>8049</v>
      </c>
      <c r="O81" s="104">
        <v>8018</v>
      </c>
      <c r="P81" s="104">
        <v>303</v>
      </c>
      <c r="Q81" s="174">
        <v>1678.1209199999998</v>
      </c>
      <c r="R81" s="175">
        <v>948</v>
      </c>
      <c r="S81" s="176">
        <v>30</v>
      </c>
      <c r="T81" s="182">
        <v>188722.6</v>
      </c>
      <c r="U81" s="207">
        <v>0</v>
      </c>
      <c r="V81" s="210">
        <v>64773</v>
      </c>
      <c r="W81" s="182">
        <v>741313</v>
      </c>
      <c r="X81" s="207">
        <v>14121.5</v>
      </c>
      <c r="Y81" s="207">
        <v>51322.45</v>
      </c>
      <c r="Z81" s="210">
        <v>35191.9</v>
      </c>
      <c r="AA81" s="211">
        <v>145310.20000000001</v>
      </c>
      <c r="AB81" s="207">
        <v>2368.077514863839</v>
      </c>
      <c r="AC81" s="207">
        <v>28.180009939122865</v>
      </c>
      <c r="AD81" s="207">
        <v>68.930123824905777</v>
      </c>
      <c r="AE81" s="207">
        <v>89.378265937337886</v>
      </c>
      <c r="AF81" s="207">
        <v>46.453281981198487</v>
      </c>
      <c r="AG81" s="207">
        <v>62.069420631962558</v>
      </c>
      <c r="AH81" s="181">
        <v>2663.0886171783668</v>
      </c>
      <c r="AI81" s="207">
        <v>2327.107050575537</v>
      </c>
      <c r="AJ81" s="207">
        <v>28.859424627920511</v>
      </c>
      <c r="AK81" s="207">
        <v>68.222798702918439</v>
      </c>
      <c r="AL81" s="207">
        <v>91.705775666991698</v>
      </c>
      <c r="AM81" s="207">
        <v>47.244495717967908</v>
      </c>
      <c r="AN81" s="207">
        <v>48.57264903966076</v>
      </c>
      <c r="AO81" s="181">
        <v>2611.7121943309958</v>
      </c>
      <c r="AP81" s="177">
        <v>2347.5922827196882</v>
      </c>
      <c r="AQ81" s="178">
        <v>28.519717283521686</v>
      </c>
      <c r="AR81" s="179">
        <v>68.576461263912108</v>
      </c>
      <c r="AS81" s="179">
        <v>90.542020802164785</v>
      </c>
      <c r="AT81" s="178">
        <v>46.848888849583197</v>
      </c>
      <c r="AU81" s="180">
        <v>55.321034835811659</v>
      </c>
      <c r="AV81" s="181">
        <v>2637.4004057546813</v>
      </c>
      <c r="AW81" s="182">
        <v>2298.3786631301355</v>
      </c>
      <c r="AX81" s="183">
        <v>0.94499999999999995</v>
      </c>
      <c r="AY81" s="184">
        <v>-0.42858145617189947</v>
      </c>
      <c r="AZ81" s="182">
        <v>1373.9</v>
      </c>
      <c r="BA81" s="178">
        <v>11606.50554833541</v>
      </c>
      <c r="BB81" s="178">
        <v>7150</v>
      </c>
      <c r="BC81" s="180">
        <v>210</v>
      </c>
      <c r="BD81" s="185"/>
    </row>
    <row r="82" spans="1:56" s="199" customFormat="1" x14ac:dyDescent="0.2">
      <c r="A82" s="186"/>
      <c r="B82" s="187" t="s">
        <v>107</v>
      </c>
      <c r="C82" s="188">
        <v>97771900</v>
      </c>
      <c r="D82" s="188">
        <v>41425100</v>
      </c>
      <c r="E82" s="188">
        <v>39651700</v>
      </c>
      <c r="F82" s="188">
        <v>17357300</v>
      </c>
      <c r="G82" s="188">
        <v>7632700</v>
      </c>
      <c r="H82" s="188">
        <v>9159300</v>
      </c>
      <c r="I82" s="188">
        <v>1797000</v>
      </c>
      <c r="J82" s="188">
        <f>SUM(J5:J81)</f>
        <v>575500</v>
      </c>
      <c r="K82" s="188">
        <v>0</v>
      </c>
      <c r="L82" s="186"/>
      <c r="M82" s="189"/>
      <c r="N82" s="190">
        <v>483156</v>
      </c>
      <c r="O82" s="190">
        <v>487060</v>
      </c>
      <c r="P82" s="191">
        <v>21775</v>
      </c>
      <c r="Q82" s="192">
        <v>123469.03852000005</v>
      </c>
      <c r="R82" s="193">
        <v>56170</v>
      </c>
      <c r="S82" s="190">
        <v>1375</v>
      </c>
      <c r="T82" s="194">
        <v>10924263.860000003</v>
      </c>
      <c r="U82" s="195">
        <v>3148383.9299999997</v>
      </c>
      <c r="V82" s="196">
        <v>1950891.3800000001</v>
      </c>
      <c r="W82" s="194">
        <v>65012850.909999974</v>
      </c>
      <c r="X82" s="195">
        <v>1956960.1700000004</v>
      </c>
      <c r="Y82" s="195">
        <v>8093561.4199999971</v>
      </c>
      <c r="Z82" s="196">
        <v>7955812.9499999983</v>
      </c>
      <c r="AA82" s="194">
        <v>17629239.919999998</v>
      </c>
      <c r="AB82" s="194">
        <v>1801.503706714735</v>
      </c>
      <c r="AC82" s="195">
        <v>88.435748840264125</v>
      </c>
      <c r="AD82" s="195">
        <v>178.27656402211019</v>
      </c>
      <c r="AE82" s="195">
        <v>92.890273507245425</v>
      </c>
      <c r="AF82" s="195">
        <v>66.65686961009142</v>
      </c>
      <c r="AG82" s="196">
        <v>55.312499137614644</v>
      </c>
      <c r="AH82" s="197">
        <v>2283.0756618320611</v>
      </c>
      <c r="AI82" s="194">
        <v>1822.9345450589328</v>
      </c>
      <c r="AJ82" s="195">
        <v>90.344801940897057</v>
      </c>
      <c r="AK82" s="195">
        <v>189.02053874266008</v>
      </c>
      <c r="AL82" s="195">
        <v>95.470969038722117</v>
      </c>
      <c r="AM82" s="195">
        <v>60.640882875484195</v>
      </c>
      <c r="AN82" s="196">
        <v>55.269926771513425</v>
      </c>
      <c r="AO82" s="197">
        <v>2313.6816644282098</v>
      </c>
      <c r="AP82" s="194">
        <v>1812.2191258868338</v>
      </c>
      <c r="AQ82" s="195">
        <v>89.390275390580598</v>
      </c>
      <c r="AR82" s="195">
        <v>183.64855138238514</v>
      </c>
      <c r="AS82" s="195">
        <v>94.180621272983771</v>
      </c>
      <c r="AT82" s="195">
        <v>63.648876242787807</v>
      </c>
      <c r="AU82" s="196">
        <v>55.291212954564031</v>
      </c>
      <c r="AV82" s="197">
        <v>2298.3786631301355</v>
      </c>
      <c r="AW82" s="193"/>
      <c r="AX82" s="193"/>
      <c r="AY82" s="191"/>
      <c r="AZ82" s="193"/>
      <c r="BA82" s="190"/>
      <c r="BB82" s="190"/>
      <c r="BC82" s="191"/>
      <c r="BD82" s="198"/>
    </row>
  </sheetData>
  <sheetProtection algorithmName="SHA-512" hashValue="F1Zig+V8kSnFEnUwfahUYsA8kEZ++N/JdgfcvV3eEagtE6d7nGQ47HrB6Iacr9nV3hNsMJ+FKda+yKjkzDHM4A==" saltValue="qZydCwaVtke/CJWmILy5IQ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FAG2014</vt:lpstr>
      <vt:lpstr>Basis</vt:lpstr>
    </vt:vector>
  </TitlesOfParts>
  <Company>Kanton St.Gallen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Schaible</dc:creator>
  <cp:lastModifiedBy>Schaible, Bruno</cp:lastModifiedBy>
  <cp:lastPrinted>2014-02-27T06:06:51Z</cp:lastPrinted>
  <dcterms:created xsi:type="dcterms:W3CDTF">2014-01-09T08:02:10Z</dcterms:created>
  <dcterms:modified xsi:type="dcterms:W3CDTF">2017-07-10T12:36:35Z</dcterms:modified>
</cp:coreProperties>
</file>