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V:\Appl\HR_Services_und_Support\34 Entlohnung und Versicherung\Jahreswechsel 2023-2024\Azalee\"/>
    </mc:Choice>
  </mc:AlternateContent>
  <workbookProtection workbookAlgorithmName="SHA-512" workbookHashValue="mhlYM3xuZ5c8774KFsjvU+XcYdrQRHQMk94VYjcNI11nO0w6O8yIF8rlQw/lvB1AVvqoUGJnCHTe2uIXofeyLQ==" workbookSaltValue="LEZ5uSgZCdzQFe11WpX+Ww==" workbookSpinCount="100000" lockStructure="1"/>
  <bookViews>
    <workbookView xWindow="0" yWindow="0" windowWidth="23040" windowHeight="10032"/>
  </bookViews>
  <sheets>
    <sheet name="Berechnung" sheetId="1" r:id="rId1"/>
    <sheet name="Anleitung_Hinweise" sheetId="9" r:id="rId2"/>
    <sheet name="SollAZ" sheetId="8" state="hidden" r:id="rId3"/>
    <sheet name="FAnspr" sheetId="7" state="hidden" r:id="rId4"/>
    <sheet name="Calc" sheetId="4" state="hidden" r:id="rId5"/>
  </sheets>
  <externalReferences>
    <externalReference r:id="rId6"/>
    <externalReference r:id="rId7"/>
  </externalReferences>
  <definedNames>
    <definedName name="_xlnm._FilterDatabase" localSheetId="4" hidden="1">Calc!$A$1:$E$373</definedName>
    <definedName name="Akt_Jahr" localSheetId="2">SollAZ!$T$1</definedName>
    <definedName name="Akt_Text" localSheetId="2">'[1]#BEZUG'!$B$6</definedName>
    <definedName name="Akt_Text">'[1]#BEZUG'!$B$6</definedName>
    <definedName name="Akt_Wert" localSheetId="2">'[1]#BEZUG'!#REF!</definedName>
    <definedName name="Akt_Wert">'[1]#BEZUG'!#REF!</definedName>
    <definedName name="AnfangJahr">Berechnung!$AF$17</definedName>
    <definedName name="Anzeige_BOL_Wert" localSheetId="2">'[1]#BEZUG'!$E$5</definedName>
    <definedName name="Anzeige_BOL_Wert">'[1]#BEZUG'!$E$5</definedName>
    <definedName name="Anzeige_Index" localSheetId="2">'[1]#BEZUG'!$E$6</definedName>
    <definedName name="Anzeige_Index">'[1]#BEZUG'!$E$6</definedName>
    <definedName name="B_Lehr_110.5">#REF!</definedName>
    <definedName name="B_Lehr_110.9" localSheetId="2">#REF!</definedName>
    <definedName name="B_Lehr_110.9">#REF!</definedName>
    <definedName name="B_Lehr_140.5" localSheetId="2">#REF!</definedName>
    <definedName name="B_Lehr_140.5">#REF!</definedName>
    <definedName name="Basis_140.5" localSheetId="2">#REF!</definedName>
    <definedName name="Basis_140.5">#REF!</definedName>
    <definedName name="Basis_wert" localSheetId="2">'[1]#BEZUG'!$E$4</definedName>
    <definedName name="Basis_wert">'[1]#BEZUG'!$E$4</definedName>
    <definedName name="BOL_Wert" localSheetId="2">'[1]#BEZUG'!$E$7</definedName>
    <definedName name="BOL_Wert">'[1]#BEZUG'!$E$7</definedName>
    <definedName name="_xlnm.Print_Area" localSheetId="2">SollAZ!$A$1:$T$74</definedName>
    <definedName name="_xlnm.Print_Titles" localSheetId="2">SollAZ!$1:$1</definedName>
    <definedName name="EndeJahr">Berechnung!$AG$17</definedName>
    <definedName name="Festtage" localSheetId="2">SollAZ!$X$8:$X$25</definedName>
    <definedName name="Festtage">[2]Soll_20XX!$X$8:$X$29</definedName>
    <definedName name="Festtage2" localSheetId="2">SollAZ!#REF!</definedName>
    <definedName name="Festtage2">[2]Soll_20XX!$X$85:$X$106</definedName>
    <definedName name="Index_Text" localSheetId="2">#REF!</definedName>
    <definedName name="Index_Text">#REF!</definedName>
    <definedName name="Jahr">#REF!</definedName>
    <definedName name="Oster_Daten">SollAZ!#REF!</definedName>
    <definedName name="Oster_Jahre">SollAZ!#REF!</definedName>
    <definedName name="Punkte" localSheetId="2">#REF!</definedName>
    <definedName name="Punkte">#REF!</definedName>
    <definedName name="Sollarbeitstage">#REF!</definedName>
    <definedName name="Spez_Std" localSheetId="2">SollAZ!$W$8:$W$25</definedName>
    <definedName name="Spez_Std">[2]Soll_20XX!$W$8:$W$29</definedName>
    <definedName name="Spez_Std1" localSheetId="2">SollAZ!#REF!</definedName>
    <definedName name="Spez_Std1">[2]Soll_20XX!#REF!</definedName>
    <definedName name="Spez_Std2" localSheetId="2">SollAZ!#REF!</definedName>
    <definedName name="Spez_Std2">[2]Soll_20XX!$W$85:$W$109</definedName>
    <definedName name="Spez_Std3" localSheetId="2">SollAZ!#REF!</definedName>
    <definedName name="Spez_Std3">[2]Soll_20XX!#REF!</definedName>
    <definedName name="Spez_Tg" localSheetId="2">SollAZ!$V$8:$V$25</definedName>
    <definedName name="Spez_Tg">[2]Soll_20XX!$V$8:$V$29</definedName>
    <definedName name="Spez_Tg1" localSheetId="2">SollAZ!#REF!</definedName>
    <definedName name="Spez_Tg1">[2]Soll_20XX!#REF!</definedName>
    <definedName name="Spez_Tg2" localSheetId="2">SollAZ!#REF!</definedName>
    <definedName name="Spez_Tg2">[2]Soll_20XX!$V$85:$V$109</definedName>
    <definedName name="Spez_Tg3" localSheetId="2">SollAZ!#REF!</definedName>
    <definedName name="Spez_Tg3">[2]Soll_20XX!#REF!</definedName>
    <definedName name="Std_Text" localSheetId="2">#REF!</definedName>
    <definedName name="Std_Text">#REF!</definedName>
    <definedName name="Teiler_Text" localSheetId="2">#REF!</definedName>
    <definedName name="Teiler_Text">#REF!</definedName>
    <definedName name="Titel_Lehrer" localSheetId="2">#REF!</definedName>
    <definedName name="Titel_Lehrer">#REF!</definedName>
    <definedName name="Titel_Staatsp" localSheetId="2">#REF!</definedName>
    <definedName name="Titel_Staatsp">#REF!</definedName>
    <definedName name="Verg_Text" localSheetId="2">#REF!</definedName>
    <definedName name="Verg_Text">#REF!</definedName>
    <definedName name="W_Std">SollAZ!$E$2</definedName>
    <definedName name="W_Std_42" localSheetId="2">SollAZ!$E$2</definedName>
    <definedName name="W_Std_42">[2]Soll_20XX!$E$2</definedName>
    <definedName name="W_Std_42_1">SollAZ!#REF!</definedName>
    <definedName name="W_Std_43" localSheetId="2">SollAZ!#REF!</definedName>
    <definedName name="W_Std_43">[2]Soll_20XX!#REF!</definedName>
    <definedName name="W_Std_43_1" localSheetId="2">SollAZ!#REF!</definedName>
    <definedName name="W_Std_43_1">[2]Soll_20XX!#REF!</definedName>
  </definedNames>
  <calcPr calcId="162913"/>
</workbook>
</file>

<file path=xl/calcChain.xml><?xml version="1.0" encoding="utf-8"?>
<calcChain xmlns="http://schemas.openxmlformats.org/spreadsheetml/2006/main">
  <c r="W9" i="8" l="1"/>
  <c r="W10" i="8"/>
  <c r="W11" i="8"/>
  <c r="W12" i="8"/>
  <c r="W13" i="8"/>
  <c r="W14" i="8"/>
  <c r="W15" i="8"/>
  <c r="W16" i="8"/>
  <c r="W17" i="8"/>
  <c r="W18" i="8"/>
  <c r="W19" i="8"/>
  <c r="W20" i="8"/>
  <c r="W21" i="8"/>
  <c r="W8" i="8"/>
  <c r="E34" i="1" l="1"/>
  <c r="D4" i="1" l="1"/>
  <c r="AF17" i="1" s="1"/>
  <c r="V12" i="8" l="1"/>
  <c r="V20" i="8"/>
  <c r="V19" i="8"/>
  <c r="Z8" i="1" l="1"/>
  <c r="J10" i="1" s="1"/>
  <c r="AG20" i="1" l="1"/>
  <c r="AF19" i="1" l="1"/>
  <c r="H15" i="8" l="1"/>
  <c r="E10" i="8" l="1"/>
  <c r="C37" i="4" s="1"/>
  <c r="N15" i="8"/>
  <c r="C135" i="4" s="1"/>
  <c r="N7" i="8"/>
  <c r="C127" i="4" s="1"/>
  <c r="B17" i="8"/>
  <c r="C13" i="4" s="1"/>
  <c r="E7" i="8"/>
  <c r="C34" i="4" s="1"/>
  <c r="Q7" i="8"/>
  <c r="C158" i="4" s="1"/>
  <c r="E20" i="8"/>
  <c r="C47" i="4" s="1"/>
  <c r="Q10" i="8"/>
  <c r="C161" i="4" s="1"/>
  <c r="N9" i="8"/>
  <c r="C129" i="4" s="1"/>
  <c r="E31" i="8"/>
  <c r="C58" i="4" s="1"/>
  <c r="B10" i="8"/>
  <c r="C6" i="4" s="1"/>
  <c r="K52" i="8"/>
  <c r="C291" i="4" s="1"/>
  <c r="B7" i="8"/>
  <c r="C3" i="4" s="1"/>
  <c r="B71" i="8"/>
  <c r="C217" i="4" s="1"/>
  <c r="Y20" i="8"/>
  <c r="H8" i="8"/>
  <c r="C66" i="4" s="1"/>
  <c r="Q33" i="8"/>
  <c r="C184" i="4" s="1"/>
  <c r="K8" i="8"/>
  <c r="C97" i="4" s="1"/>
  <c r="E13" i="8"/>
  <c r="C40" i="4" s="1"/>
  <c r="Q47" i="8"/>
  <c r="C348" i="4" s="1"/>
  <c r="K9" i="8"/>
  <c r="C98" i="4" s="1"/>
  <c r="B14" i="8"/>
  <c r="C10" i="4" s="1"/>
  <c r="Q49" i="8"/>
  <c r="C350" i="4" s="1"/>
  <c r="H6" i="8"/>
  <c r="C64" i="4" s="1"/>
  <c r="V8" i="8"/>
  <c r="Y8" i="8" s="1"/>
  <c r="N11" i="8"/>
  <c r="C131" i="4" s="1"/>
  <c r="K22" i="8"/>
  <c r="C111" i="4" s="1"/>
  <c r="K6" i="8"/>
  <c r="C95" i="4" s="1"/>
  <c r="B9" i="8"/>
  <c r="C5" i="4" s="1"/>
  <c r="E29" i="8"/>
  <c r="C56" i="4" s="1"/>
  <c r="Q12" i="8"/>
  <c r="C163" i="4" s="1"/>
  <c r="V15" i="8"/>
  <c r="Y15" i="8" s="1"/>
  <c r="Q22" i="8"/>
  <c r="C173" i="4" s="1"/>
  <c r="K34" i="8"/>
  <c r="C123" i="4" s="1"/>
  <c r="Q55" i="8"/>
  <c r="C356" i="4" s="1"/>
  <c r="E18" i="8"/>
  <c r="C45" i="4" s="1"/>
  <c r="Q23" i="8"/>
  <c r="C174" i="4" s="1"/>
  <c r="Q36" i="8"/>
  <c r="R36" i="8" s="1"/>
  <c r="E187" i="4" s="1"/>
  <c r="Q57" i="8"/>
  <c r="C358" i="4" s="1"/>
  <c r="B19" i="8"/>
  <c r="H24" i="8"/>
  <c r="C82" i="4" s="1"/>
  <c r="E45" i="8"/>
  <c r="C222" i="4" s="1"/>
  <c r="K60" i="8"/>
  <c r="C299" i="4" s="1"/>
  <c r="H14" i="8"/>
  <c r="C72" i="4" s="1"/>
  <c r="H19" i="8"/>
  <c r="C77" i="4" s="1"/>
  <c r="E47" i="8"/>
  <c r="C224" i="4" s="1"/>
  <c r="E63" i="8"/>
  <c r="C240" i="4" s="1"/>
  <c r="N16" i="8"/>
  <c r="C136" i="4" s="1"/>
  <c r="N21" i="8"/>
  <c r="C141" i="4" s="1"/>
  <c r="Q31" i="8"/>
  <c r="C182" i="4" s="1"/>
  <c r="K50" i="8"/>
  <c r="C289" i="4" s="1"/>
  <c r="Q65" i="8"/>
  <c r="C366" i="4" s="1"/>
  <c r="K20" i="8"/>
  <c r="C109" i="4" s="1"/>
  <c r="K26" i="8"/>
  <c r="C115" i="4" s="1"/>
  <c r="K42" i="8"/>
  <c r="C281" i="4" s="1"/>
  <c r="E53" i="8"/>
  <c r="C230" i="4" s="1"/>
  <c r="H21" i="8"/>
  <c r="C79" i="4" s="1"/>
  <c r="K28" i="8"/>
  <c r="C117" i="4" s="1"/>
  <c r="K44" i="8"/>
  <c r="C283" i="4" s="1"/>
  <c r="E55" i="8"/>
  <c r="C232" i="4" s="1"/>
  <c r="K58" i="8"/>
  <c r="C297" i="4" s="1"/>
  <c r="N72" i="8"/>
  <c r="C342" i="4" s="1"/>
  <c r="B72" i="8"/>
  <c r="C218" i="4" s="1"/>
  <c r="N70" i="8"/>
  <c r="C340" i="4" s="1"/>
  <c r="H69" i="8"/>
  <c r="C277" i="4" s="1"/>
  <c r="B68" i="8"/>
  <c r="C214" i="4" s="1"/>
  <c r="N66" i="8"/>
  <c r="C336" i="4" s="1"/>
  <c r="N65" i="8"/>
  <c r="C335" i="4" s="1"/>
  <c r="B65" i="8"/>
  <c r="C211" i="4" s="1"/>
  <c r="H64" i="8"/>
  <c r="C272" i="4" s="1"/>
  <c r="N63" i="8"/>
  <c r="C333" i="4" s="1"/>
  <c r="B63" i="8"/>
  <c r="C209" i="4" s="1"/>
  <c r="H62" i="8"/>
  <c r="C270" i="4" s="1"/>
  <c r="N61" i="8"/>
  <c r="C331" i="4" s="1"/>
  <c r="B61" i="8"/>
  <c r="C207" i="4" s="1"/>
  <c r="H60" i="8"/>
  <c r="C268" i="4" s="1"/>
  <c r="N59" i="8"/>
  <c r="C329" i="4" s="1"/>
  <c r="B59" i="8"/>
  <c r="C205" i="4" s="1"/>
  <c r="H58" i="8"/>
  <c r="C266" i="4" s="1"/>
  <c r="N57" i="8"/>
  <c r="C327" i="4" s="1"/>
  <c r="B57" i="8"/>
  <c r="C203" i="4" s="1"/>
  <c r="H56" i="8"/>
  <c r="C264" i="4" s="1"/>
  <c r="N55" i="8"/>
  <c r="C325" i="4" s="1"/>
  <c r="B55" i="8"/>
  <c r="C201" i="4" s="1"/>
  <c r="H54" i="8"/>
  <c r="C262" i="4" s="1"/>
  <c r="N53" i="8"/>
  <c r="C323" i="4" s="1"/>
  <c r="B53" i="8"/>
  <c r="C199" i="4" s="1"/>
  <c r="H52" i="8"/>
  <c r="C260" i="4" s="1"/>
  <c r="N51" i="8"/>
  <c r="C321" i="4" s="1"/>
  <c r="B51" i="8"/>
  <c r="C197" i="4" s="1"/>
  <c r="H50" i="8"/>
  <c r="C258" i="4" s="1"/>
  <c r="N49" i="8"/>
  <c r="C319" i="4" s="1"/>
  <c r="B49" i="8"/>
  <c r="C195" i="4" s="1"/>
  <c r="H48" i="8"/>
  <c r="C256" i="4" s="1"/>
  <c r="N47" i="8"/>
  <c r="C317" i="4" s="1"/>
  <c r="B47" i="8"/>
  <c r="C193" i="4" s="1"/>
  <c r="H46" i="8"/>
  <c r="C254" i="4" s="1"/>
  <c r="N45" i="8"/>
  <c r="C315" i="4" s="1"/>
  <c r="B45" i="8"/>
  <c r="C191" i="4" s="1"/>
  <c r="H44" i="8"/>
  <c r="C252" i="4" s="1"/>
  <c r="N43" i="8"/>
  <c r="C313" i="4" s="1"/>
  <c r="B43" i="8"/>
  <c r="C189" i="4" s="1"/>
  <c r="H42" i="8"/>
  <c r="C250" i="4" s="1"/>
  <c r="N36" i="8"/>
  <c r="C156" i="4" s="1"/>
  <c r="N35" i="8"/>
  <c r="C155" i="4" s="1"/>
  <c r="B35" i="8"/>
  <c r="C31" i="4" s="1"/>
  <c r="H34" i="8"/>
  <c r="C92" i="4" s="1"/>
  <c r="N33" i="8"/>
  <c r="C153" i="4" s="1"/>
  <c r="B33" i="8"/>
  <c r="C29" i="4" s="1"/>
  <c r="H32" i="8"/>
  <c r="C90" i="4" s="1"/>
  <c r="N31" i="8"/>
  <c r="C151" i="4" s="1"/>
  <c r="B31" i="8"/>
  <c r="C27" i="4" s="1"/>
  <c r="H30" i="8"/>
  <c r="C88" i="4" s="1"/>
  <c r="N29" i="8"/>
  <c r="C149" i="4" s="1"/>
  <c r="B29" i="8"/>
  <c r="C25" i="4" s="1"/>
  <c r="H28" i="8"/>
  <c r="C86" i="4" s="1"/>
  <c r="N27" i="8"/>
  <c r="B27" i="8"/>
  <c r="C23" i="4" s="1"/>
  <c r="H26" i="8"/>
  <c r="C84" i="4" s="1"/>
  <c r="V21" i="8"/>
  <c r="Y21" i="8" s="1"/>
  <c r="H25" i="8"/>
  <c r="C83" i="4" s="1"/>
  <c r="Q24" i="8"/>
  <c r="C175" i="4" s="1"/>
  <c r="E24" i="8"/>
  <c r="C51" i="4" s="1"/>
  <c r="N23" i="8"/>
  <c r="C143" i="4" s="1"/>
  <c r="B23" i="8"/>
  <c r="C19" i="4" s="1"/>
  <c r="N22" i="8"/>
  <c r="C142" i="4" s="1"/>
  <c r="B22" i="8"/>
  <c r="C18" i="4" s="1"/>
  <c r="K21" i="8"/>
  <c r="C110" i="4" s="1"/>
  <c r="V16" i="8"/>
  <c r="Y16" i="8" s="1"/>
  <c r="H20" i="8"/>
  <c r="C78" i="4" s="1"/>
  <c r="Q19" i="8"/>
  <c r="C170" i="4" s="1"/>
  <c r="E19" i="8"/>
  <c r="C46" i="4" s="1"/>
  <c r="N18" i="8"/>
  <c r="C138" i="4" s="1"/>
  <c r="B18" i="8"/>
  <c r="C14" i="4" s="1"/>
  <c r="K17" i="8"/>
  <c r="C106" i="4" s="1"/>
  <c r="Q16" i="8"/>
  <c r="C167" i="4" s="1"/>
  <c r="E16" i="8"/>
  <c r="C43" i="4" s="1"/>
  <c r="K15" i="8"/>
  <c r="C104" i="4" s="1"/>
  <c r="Q14" i="8"/>
  <c r="C165" i="4" s="1"/>
  <c r="E14" i="8"/>
  <c r="C41" i="4" s="1"/>
  <c r="N13" i="8"/>
  <c r="C133" i="4" s="1"/>
  <c r="B13" i="8"/>
  <c r="C9" i="4" s="1"/>
  <c r="H12" i="8"/>
  <c r="C70" i="4" s="1"/>
  <c r="Q11" i="8"/>
  <c r="C162" i="4" s="1"/>
  <c r="E11" i="8"/>
  <c r="C38" i="4" s="1"/>
  <c r="N10" i="8"/>
  <c r="C130" i="4" s="1"/>
  <c r="N71" i="8"/>
  <c r="C341" i="4" s="1"/>
  <c r="H70" i="8"/>
  <c r="C278" i="4" s="1"/>
  <c r="B69" i="8"/>
  <c r="C215" i="4" s="1"/>
  <c r="N67" i="8"/>
  <c r="C337" i="4" s="1"/>
  <c r="H66" i="8"/>
  <c r="C274" i="4" s="1"/>
  <c r="K65" i="8"/>
  <c r="C304" i="4" s="1"/>
  <c r="Q64" i="8"/>
  <c r="C365" i="4" s="1"/>
  <c r="E64" i="8"/>
  <c r="C241" i="4" s="1"/>
  <c r="K63" i="8"/>
  <c r="C302" i="4" s="1"/>
  <c r="Q62" i="8"/>
  <c r="C363" i="4" s="1"/>
  <c r="E62" i="8"/>
  <c r="C239" i="4" s="1"/>
  <c r="K61" i="8"/>
  <c r="C300" i="4" s="1"/>
  <c r="Q60" i="8"/>
  <c r="C361" i="4" s="1"/>
  <c r="E60" i="8"/>
  <c r="C237" i="4" s="1"/>
  <c r="K59" i="8"/>
  <c r="C298" i="4" s="1"/>
  <c r="Q58" i="8"/>
  <c r="C359" i="4" s="1"/>
  <c r="E58" i="8"/>
  <c r="C235" i="4" s="1"/>
  <c r="K57" i="8"/>
  <c r="C296" i="4" s="1"/>
  <c r="Q56" i="8"/>
  <c r="C357" i="4" s="1"/>
  <c r="E56" i="8"/>
  <c r="C233" i="4" s="1"/>
  <c r="K55" i="8"/>
  <c r="C294" i="4" s="1"/>
  <c r="Q54" i="8"/>
  <c r="C355" i="4" s="1"/>
  <c r="E54" i="8"/>
  <c r="C231" i="4" s="1"/>
  <c r="K53" i="8"/>
  <c r="C292" i="4" s="1"/>
  <c r="Q52" i="8"/>
  <c r="C353" i="4" s="1"/>
  <c r="E52" i="8"/>
  <c r="C229" i="4" s="1"/>
  <c r="K51" i="8"/>
  <c r="C290" i="4" s="1"/>
  <c r="Q50" i="8"/>
  <c r="C351" i="4" s="1"/>
  <c r="E50" i="8"/>
  <c r="C227" i="4" s="1"/>
  <c r="K49" i="8"/>
  <c r="C288" i="4" s="1"/>
  <c r="Q48" i="8"/>
  <c r="C349" i="4" s="1"/>
  <c r="E48" i="8"/>
  <c r="C225" i="4" s="1"/>
  <c r="K47" i="8"/>
  <c r="C286" i="4" s="1"/>
  <c r="Q46" i="8"/>
  <c r="C347" i="4" s="1"/>
  <c r="E46" i="8"/>
  <c r="C223" i="4" s="1"/>
  <c r="K45" i="8"/>
  <c r="C284" i="4" s="1"/>
  <c r="Q44" i="8"/>
  <c r="C345" i="4" s="1"/>
  <c r="E44" i="8"/>
  <c r="C221" i="4" s="1"/>
  <c r="K43" i="8"/>
  <c r="C282" i="4" s="1"/>
  <c r="Q42" i="8"/>
  <c r="C343" i="4" s="1"/>
  <c r="E42" i="8"/>
  <c r="C219" i="4" s="1"/>
  <c r="H36" i="8"/>
  <c r="C94" i="4" s="1"/>
  <c r="K35" i="8"/>
  <c r="C124" i="4" s="1"/>
  <c r="Q34" i="8"/>
  <c r="C185" i="4" s="1"/>
  <c r="E34" i="8"/>
  <c r="C61" i="4" s="1"/>
  <c r="K33" i="8"/>
  <c r="C122" i="4" s="1"/>
  <c r="Q32" i="8"/>
  <c r="C183" i="4" s="1"/>
  <c r="E32" i="8"/>
  <c r="C59" i="4" s="1"/>
  <c r="K31" i="8"/>
  <c r="C120" i="4" s="1"/>
  <c r="Q30" i="8"/>
  <c r="C181" i="4" s="1"/>
  <c r="E30" i="8"/>
  <c r="C57" i="4" s="1"/>
  <c r="K29" i="8"/>
  <c r="C118" i="4" s="1"/>
  <c r="Q28" i="8"/>
  <c r="C179" i="4" s="1"/>
  <c r="E28" i="8"/>
  <c r="C55" i="4" s="1"/>
  <c r="K27" i="8"/>
  <c r="C116" i="4" s="1"/>
  <c r="Q26" i="8"/>
  <c r="C177" i="4" s="1"/>
  <c r="E26" i="8"/>
  <c r="C53" i="4" s="1"/>
  <c r="Q25" i="8"/>
  <c r="C176" i="4" s="1"/>
  <c r="E25" i="8"/>
  <c r="C52" i="4" s="1"/>
  <c r="N24" i="8"/>
  <c r="C144" i="4" s="1"/>
  <c r="B24" i="8"/>
  <c r="C20" i="4" s="1"/>
  <c r="K23" i="8"/>
  <c r="C112" i="4" s="1"/>
  <c r="H71" i="8"/>
  <c r="C279" i="4" s="1"/>
  <c r="B70" i="8"/>
  <c r="C216" i="4" s="1"/>
  <c r="N68" i="8"/>
  <c r="C338" i="4" s="1"/>
  <c r="H67" i="8"/>
  <c r="C275" i="4" s="1"/>
  <c r="B66" i="8"/>
  <c r="C212" i="4" s="1"/>
  <c r="H65" i="8"/>
  <c r="C273" i="4" s="1"/>
  <c r="N64" i="8"/>
  <c r="C334" i="4" s="1"/>
  <c r="B64" i="8"/>
  <c r="C210" i="4" s="1"/>
  <c r="H63" i="8"/>
  <c r="C271" i="4" s="1"/>
  <c r="N62" i="8"/>
  <c r="C332" i="4" s="1"/>
  <c r="B62" i="8"/>
  <c r="C208" i="4" s="1"/>
  <c r="H61" i="8"/>
  <c r="C269" i="4" s="1"/>
  <c r="N60" i="8"/>
  <c r="C330" i="4" s="1"/>
  <c r="B60" i="8"/>
  <c r="C206" i="4" s="1"/>
  <c r="H59" i="8"/>
  <c r="C267" i="4" s="1"/>
  <c r="N58" i="8"/>
  <c r="C328" i="4" s="1"/>
  <c r="B58" i="8"/>
  <c r="C204" i="4" s="1"/>
  <c r="H57" i="8"/>
  <c r="C265" i="4" s="1"/>
  <c r="N56" i="8"/>
  <c r="C326" i="4" s="1"/>
  <c r="B56" i="8"/>
  <c r="C202" i="4" s="1"/>
  <c r="H55" i="8"/>
  <c r="C263" i="4" s="1"/>
  <c r="N54" i="8"/>
  <c r="C324" i="4" s="1"/>
  <c r="B54" i="8"/>
  <c r="C200" i="4" s="1"/>
  <c r="H53" i="8"/>
  <c r="C261" i="4" s="1"/>
  <c r="N52" i="8"/>
  <c r="C322" i="4" s="1"/>
  <c r="B52" i="8"/>
  <c r="C198" i="4" s="1"/>
  <c r="H51" i="8"/>
  <c r="C259" i="4" s="1"/>
  <c r="N50" i="8"/>
  <c r="C320" i="4" s="1"/>
  <c r="B50" i="8"/>
  <c r="C196" i="4" s="1"/>
  <c r="H49" i="8"/>
  <c r="C257" i="4" s="1"/>
  <c r="N48" i="8"/>
  <c r="C318" i="4" s="1"/>
  <c r="B48" i="8"/>
  <c r="C194" i="4" s="1"/>
  <c r="H47" i="8"/>
  <c r="C255" i="4" s="1"/>
  <c r="N46" i="8"/>
  <c r="C316" i="4" s="1"/>
  <c r="B46" i="8"/>
  <c r="C192" i="4" s="1"/>
  <c r="H45" i="8"/>
  <c r="C253" i="4" s="1"/>
  <c r="N44" i="8"/>
  <c r="C314" i="4" s="1"/>
  <c r="B44" i="8"/>
  <c r="C190" i="4" s="1"/>
  <c r="H43" i="8"/>
  <c r="C251" i="4" s="1"/>
  <c r="N42" i="8"/>
  <c r="C312" i="4" s="1"/>
  <c r="B42" i="8"/>
  <c r="C188" i="4" s="1"/>
  <c r="B36" i="8"/>
  <c r="C32" i="4" s="1"/>
  <c r="H35" i="8"/>
  <c r="C93" i="4" s="1"/>
  <c r="N34" i="8"/>
  <c r="C154" i="4" s="1"/>
  <c r="B34" i="8"/>
  <c r="C30" i="4" s="1"/>
  <c r="H33" i="8"/>
  <c r="C91" i="4" s="1"/>
  <c r="N32" i="8"/>
  <c r="C152" i="4" s="1"/>
  <c r="B32" i="8"/>
  <c r="C28" i="4" s="1"/>
  <c r="H31" i="8"/>
  <c r="C89" i="4" s="1"/>
  <c r="N30" i="8"/>
  <c r="C150" i="4" s="1"/>
  <c r="B30" i="8"/>
  <c r="C26" i="4" s="1"/>
  <c r="H29" i="8"/>
  <c r="C87" i="4" s="1"/>
  <c r="N28" i="8"/>
  <c r="C148" i="4" s="1"/>
  <c r="B28" i="8"/>
  <c r="C24" i="4" s="1"/>
  <c r="H27" i="8"/>
  <c r="C85" i="4" s="1"/>
  <c r="N26" i="8"/>
  <c r="C146" i="4" s="1"/>
  <c r="B26" i="8"/>
  <c r="C22" i="4" s="1"/>
  <c r="N25" i="8"/>
  <c r="C145" i="4" s="1"/>
  <c r="B25" i="8"/>
  <c r="C21" i="4" s="1"/>
  <c r="K24" i="8"/>
  <c r="C113" i="4" s="1"/>
  <c r="V18" i="8"/>
  <c r="Y18" i="8" s="1"/>
  <c r="H23" i="8"/>
  <c r="C81" i="4" s="1"/>
  <c r="V17" i="8"/>
  <c r="Y17" i="8" s="1"/>
  <c r="H22" i="8"/>
  <c r="C80" i="4" s="1"/>
  <c r="Q21" i="8"/>
  <c r="C172" i="4" s="1"/>
  <c r="E21" i="8"/>
  <c r="C48" i="4" s="1"/>
  <c r="N20" i="8"/>
  <c r="C140" i="4" s="1"/>
  <c r="B20" i="8"/>
  <c r="C16" i="4" s="1"/>
  <c r="K19" i="8"/>
  <c r="C108" i="4" s="1"/>
  <c r="H18" i="8"/>
  <c r="C76" i="4" s="1"/>
  <c r="Q17" i="8"/>
  <c r="C168" i="4" s="1"/>
  <c r="E17" i="8"/>
  <c r="C44" i="4" s="1"/>
  <c r="K16" i="8"/>
  <c r="C105" i="4" s="1"/>
  <c r="Q15" i="8"/>
  <c r="C166" i="4" s="1"/>
  <c r="E15" i="8"/>
  <c r="C42" i="4" s="1"/>
  <c r="K14" i="8"/>
  <c r="C103" i="4" s="1"/>
  <c r="V11" i="8"/>
  <c r="H13" i="8"/>
  <c r="C71" i="4" s="1"/>
  <c r="N12" i="8"/>
  <c r="C132" i="4" s="1"/>
  <c r="B12" i="8"/>
  <c r="C8" i="4" s="1"/>
  <c r="K11" i="8"/>
  <c r="C100" i="4" s="1"/>
  <c r="N6" i="8"/>
  <c r="C126" i="4" s="1"/>
  <c r="B8" i="8"/>
  <c r="C4" i="4" s="1"/>
  <c r="E9" i="8"/>
  <c r="C36" i="4" s="1"/>
  <c r="H10" i="8"/>
  <c r="C68" i="4" s="1"/>
  <c r="K13" i="8"/>
  <c r="C102" i="4" s="1"/>
  <c r="B16" i="8"/>
  <c r="C12" i="4" s="1"/>
  <c r="K18" i="8"/>
  <c r="C107" i="4" s="1"/>
  <c r="Q20" i="8"/>
  <c r="C171" i="4" s="1"/>
  <c r="Y19" i="8"/>
  <c r="Q29" i="8"/>
  <c r="C180" i="4" s="1"/>
  <c r="K32" i="8"/>
  <c r="C121" i="4" s="1"/>
  <c r="E43" i="8"/>
  <c r="C220" i="4" s="1"/>
  <c r="Q45" i="8"/>
  <c r="C346" i="4" s="1"/>
  <c r="K48" i="8"/>
  <c r="C287" i="4" s="1"/>
  <c r="E51" i="8"/>
  <c r="C228" i="4" s="1"/>
  <c r="Q53" i="8"/>
  <c r="C354" i="4" s="1"/>
  <c r="K56" i="8"/>
  <c r="C295" i="4" s="1"/>
  <c r="E59" i="8"/>
  <c r="C236" i="4" s="1"/>
  <c r="Q61" i="8"/>
  <c r="C362" i="4" s="1"/>
  <c r="K64" i="8"/>
  <c r="C303" i="4" s="1"/>
  <c r="H68" i="8"/>
  <c r="C276" i="4" s="1"/>
  <c r="E61" i="8"/>
  <c r="C238" i="4" s="1"/>
  <c r="Q63" i="8"/>
  <c r="C364" i="4" s="1"/>
  <c r="B67" i="8"/>
  <c r="C213" i="4" s="1"/>
  <c r="B6" i="8"/>
  <c r="C2" i="4" s="1"/>
  <c r="H7" i="8"/>
  <c r="C65" i="4" s="1"/>
  <c r="N8" i="8"/>
  <c r="C128" i="4" s="1"/>
  <c r="Q9" i="8"/>
  <c r="C160" i="4" s="1"/>
  <c r="B11" i="8"/>
  <c r="C7" i="4" s="1"/>
  <c r="E12" i="8"/>
  <c r="C39" i="4" s="1"/>
  <c r="N14" i="8"/>
  <c r="C134" i="4" s="1"/>
  <c r="H17" i="8"/>
  <c r="C75" i="4" s="1"/>
  <c r="N19" i="8"/>
  <c r="C139" i="4" s="1"/>
  <c r="E27" i="8"/>
  <c r="C54" i="4" s="1"/>
  <c r="E35" i="8"/>
  <c r="F35" i="8" s="1"/>
  <c r="E62" i="4" s="1"/>
  <c r="E6" i="8"/>
  <c r="C33" i="4" s="1"/>
  <c r="Q6" i="8"/>
  <c r="C157" i="4" s="1"/>
  <c r="K7" i="8"/>
  <c r="C96" i="4" s="1"/>
  <c r="E8" i="8"/>
  <c r="C35" i="4" s="1"/>
  <c r="Q8" i="8"/>
  <c r="C159" i="4" s="1"/>
  <c r="H9" i="8"/>
  <c r="C67" i="4" s="1"/>
  <c r="V9" i="8"/>
  <c r="Y9" i="8" s="1"/>
  <c r="K10" i="8"/>
  <c r="C99" i="4" s="1"/>
  <c r="H11" i="8"/>
  <c r="C69" i="4" s="1"/>
  <c r="K12" i="8"/>
  <c r="C101" i="4" s="1"/>
  <c r="Q13" i="8"/>
  <c r="C164" i="4" s="1"/>
  <c r="B15" i="8"/>
  <c r="C11" i="4" s="1"/>
  <c r="H16" i="8"/>
  <c r="C74" i="4" s="1"/>
  <c r="N17" i="8"/>
  <c r="C137" i="4" s="1"/>
  <c r="Q18" i="8"/>
  <c r="C169" i="4" s="1"/>
  <c r="B21" i="8"/>
  <c r="C17" i="4" s="1"/>
  <c r="E22" i="8"/>
  <c r="C49" i="4" s="1"/>
  <c r="E23" i="8"/>
  <c r="C50" i="4" s="1"/>
  <c r="K25" i="8"/>
  <c r="C114" i="4" s="1"/>
  <c r="Q27" i="8"/>
  <c r="C178" i="4" s="1"/>
  <c r="K30" i="8"/>
  <c r="C119" i="4" s="1"/>
  <c r="E33" i="8"/>
  <c r="C60" i="4" s="1"/>
  <c r="Q35" i="8"/>
  <c r="C186" i="4" s="1"/>
  <c r="Q43" i="8"/>
  <c r="C344" i="4" s="1"/>
  <c r="K46" i="8"/>
  <c r="C285" i="4" s="1"/>
  <c r="E49" i="8"/>
  <c r="C226" i="4" s="1"/>
  <c r="Q51" i="8"/>
  <c r="C352" i="4" s="1"/>
  <c r="K54" i="8"/>
  <c r="C293" i="4" s="1"/>
  <c r="E57" i="8"/>
  <c r="C234" i="4" s="1"/>
  <c r="Q59" i="8"/>
  <c r="C360" i="4" s="1"/>
  <c r="K62" i="8"/>
  <c r="C301" i="4" s="1"/>
  <c r="E65" i="8"/>
  <c r="C242" i="4" s="1"/>
  <c r="N69" i="8"/>
  <c r="C339" i="4" s="1"/>
  <c r="H72" i="8"/>
  <c r="I72" i="8" s="1"/>
  <c r="E280" i="4" s="1"/>
  <c r="C73" i="4"/>
  <c r="C15" i="4"/>
  <c r="E36" i="8"/>
  <c r="C63" i="4" s="1"/>
  <c r="Q72" i="8"/>
  <c r="C373" i="4" s="1"/>
  <c r="K72" i="8"/>
  <c r="C311" i="4" s="1"/>
  <c r="E72" i="8"/>
  <c r="C249" i="4" s="1"/>
  <c r="Q71" i="8"/>
  <c r="K71" i="8"/>
  <c r="C310" i="4" s="1"/>
  <c r="E71" i="8"/>
  <c r="C248" i="4" s="1"/>
  <c r="Q70" i="8"/>
  <c r="K70" i="8"/>
  <c r="C309" i="4" s="1"/>
  <c r="E70" i="8"/>
  <c r="C247" i="4" s="1"/>
  <c r="Q69" i="8"/>
  <c r="C370" i="4" s="1"/>
  <c r="K69" i="8"/>
  <c r="E69" i="8"/>
  <c r="C246" i="4" s="1"/>
  <c r="Q68" i="8"/>
  <c r="C369" i="4" s="1"/>
  <c r="K68" i="8"/>
  <c r="E68" i="8"/>
  <c r="C245" i="4" s="1"/>
  <c r="Q67" i="8"/>
  <c r="C368" i="4" s="1"/>
  <c r="K67" i="8"/>
  <c r="C306" i="4" s="1"/>
  <c r="E67" i="8"/>
  <c r="Q66" i="8"/>
  <c r="C367" i="4" s="1"/>
  <c r="K66" i="8"/>
  <c r="C305" i="4" s="1"/>
  <c r="E66" i="8"/>
  <c r="K36" i="8"/>
  <c r="V14" i="8" l="1"/>
  <c r="Y14" i="8" s="1"/>
  <c r="V13" i="8"/>
  <c r="Y13" i="8" s="1"/>
  <c r="O72" i="8"/>
  <c r="E342" i="4" s="1"/>
  <c r="Y12" i="8"/>
  <c r="V10" i="8"/>
  <c r="I66" i="8" s="1"/>
  <c r="E274" i="4" s="1"/>
  <c r="C62" i="4"/>
  <c r="C187" i="4"/>
  <c r="S76" i="8"/>
  <c r="C280" i="4"/>
  <c r="Y11" i="8"/>
  <c r="C147" i="4"/>
  <c r="F34" i="8"/>
  <c r="E61" i="4" s="1"/>
  <c r="C372" i="4"/>
  <c r="F36" i="8"/>
  <c r="E63" i="4" s="1"/>
  <c r="C243" i="4"/>
  <c r="C308" i="4"/>
  <c r="C371" i="4"/>
  <c r="C125" i="4"/>
  <c r="L36" i="8"/>
  <c r="E125" i="4" s="1"/>
  <c r="C244" i="4"/>
  <c r="C307" i="4"/>
  <c r="I56" i="8"/>
  <c r="F22" i="8"/>
  <c r="C6" i="8"/>
  <c r="L68" i="8" l="1"/>
  <c r="F21" i="8"/>
  <c r="E48" i="4" s="1"/>
  <c r="L33" i="8"/>
  <c r="E122" i="4" s="1"/>
  <c r="L26" i="8"/>
  <c r="E115" i="4" s="1"/>
  <c r="O10" i="8"/>
  <c r="E130" i="4" s="1"/>
  <c r="L27" i="8"/>
  <c r="E116" i="4" s="1"/>
  <c r="I35" i="8"/>
  <c r="E93" i="4" s="1"/>
  <c r="I14" i="8"/>
  <c r="E72" i="4" s="1"/>
  <c r="C31" i="8"/>
  <c r="E27" i="4" s="1"/>
  <c r="R14" i="8"/>
  <c r="C25" i="8"/>
  <c r="E21" i="4" s="1"/>
  <c r="O24" i="8"/>
  <c r="E144" i="4" s="1"/>
  <c r="F45" i="8"/>
  <c r="E222" i="4" s="1"/>
  <c r="C32" i="8"/>
  <c r="E28" i="4" s="1"/>
  <c r="C42" i="8"/>
  <c r="E188" i="4" s="1"/>
  <c r="L55" i="8"/>
  <c r="E294" i="4" s="1"/>
  <c r="F20" i="8"/>
  <c r="E47" i="4" s="1"/>
  <c r="F15" i="8"/>
  <c r="E42" i="4" s="1"/>
  <c r="O52" i="8"/>
  <c r="I42" i="8"/>
  <c r="E250" i="4" s="1"/>
  <c r="C55" i="8"/>
  <c r="E201" i="4" s="1"/>
  <c r="L54" i="8"/>
  <c r="E293" i="4" s="1"/>
  <c r="O43" i="8"/>
  <c r="E313" i="4" s="1"/>
  <c r="L61" i="8"/>
  <c r="E300" i="4" s="1"/>
  <c r="R6" i="8"/>
  <c r="E157" i="4" s="1"/>
  <c r="Y10" i="8"/>
  <c r="C48" i="8"/>
  <c r="E194" i="4" s="1"/>
  <c r="O58" i="8"/>
  <c r="E328" i="4" s="1"/>
  <c r="R21" i="8"/>
  <c r="E172" i="4" s="1"/>
  <c r="R63" i="8"/>
  <c r="E364" i="4" s="1"/>
  <c r="O44" i="8"/>
  <c r="E314" i="4" s="1"/>
  <c r="L12" i="8"/>
  <c r="E101" i="4" s="1"/>
  <c r="F52" i="8"/>
  <c r="E229" i="4" s="1"/>
  <c r="I22" i="8"/>
  <c r="C45" i="8"/>
  <c r="E191" i="4" s="1"/>
  <c r="I43" i="8"/>
  <c r="E251" i="4" s="1"/>
  <c r="C26" i="8"/>
  <c r="E22" i="4" s="1"/>
  <c r="I34" i="8"/>
  <c r="E92" i="4" s="1"/>
  <c r="C12" i="8"/>
  <c r="E8" i="4" s="1"/>
  <c r="I52" i="8"/>
  <c r="E260" i="4" s="1"/>
  <c r="L34" i="8"/>
  <c r="E123" i="4" s="1"/>
  <c r="R15" i="8"/>
  <c r="E166" i="4" s="1"/>
  <c r="R50" i="8"/>
  <c r="E351" i="4" s="1"/>
  <c r="I17" i="8"/>
  <c r="E75" i="4" s="1"/>
  <c r="L8" i="8"/>
  <c r="E97" i="4" s="1"/>
  <c r="F26" i="8"/>
  <c r="E53" i="4" s="1"/>
  <c r="C28" i="8"/>
  <c r="E24" i="4" s="1"/>
  <c r="R71" i="8"/>
  <c r="E372" i="4" s="1"/>
  <c r="I71" i="8"/>
  <c r="E279" i="4" s="1"/>
  <c r="R29" i="8"/>
  <c r="E180" i="4" s="1"/>
  <c r="R11" i="8"/>
  <c r="E162" i="4" s="1"/>
  <c r="R46" i="8"/>
  <c r="E347" i="4" s="1"/>
  <c r="I31" i="8"/>
  <c r="E89" i="4" s="1"/>
  <c r="I9" i="8"/>
  <c r="E67" i="4" s="1"/>
  <c r="O25" i="8"/>
  <c r="E145" i="4" s="1"/>
  <c r="R43" i="8"/>
  <c r="E344" i="4" s="1"/>
  <c r="I18" i="8"/>
  <c r="E76" i="4" s="1"/>
  <c r="C35" i="8"/>
  <c r="E31" i="4" s="1"/>
  <c r="L69" i="8"/>
  <c r="L20" i="8"/>
  <c r="E109" i="4" s="1"/>
  <c r="F46" i="8"/>
  <c r="E223" i="4" s="1"/>
  <c r="C56" i="8"/>
  <c r="E202" i="4" s="1"/>
  <c r="F6" i="8"/>
  <c r="E33" i="4" s="1"/>
  <c r="O28" i="8"/>
  <c r="E148" i="4" s="1"/>
  <c r="C70" i="8"/>
  <c r="E216" i="4" s="1"/>
  <c r="I64" i="8"/>
  <c r="E272" i="4" s="1"/>
  <c r="I15" i="8"/>
  <c r="E73" i="4" s="1"/>
  <c r="R35" i="8"/>
  <c r="E186" i="4" s="1"/>
  <c r="L47" i="8"/>
  <c r="E286" i="4" s="1"/>
  <c r="C69" i="8"/>
  <c r="E215" i="4" s="1"/>
  <c r="F60" i="8"/>
  <c r="E237" i="4" s="1"/>
  <c r="O32" i="8"/>
  <c r="E152" i="4" s="1"/>
  <c r="O11" i="8"/>
  <c r="E131" i="4" s="1"/>
  <c r="R59" i="8"/>
  <c r="E360" i="4" s="1"/>
  <c r="O17" i="8"/>
  <c r="E137" i="4" s="1"/>
  <c r="I36" i="8"/>
  <c r="E94" i="4" s="1"/>
  <c r="I8" i="8"/>
  <c r="E66" i="4" s="1"/>
  <c r="R49" i="8"/>
  <c r="E350" i="4" s="1"/>
  <c r="F67" i="8"/>
  <c r="E244" i="4" s="1"/>
  <c r="L19" i="8"/>
  <c r="E108" i="4" s="1"/>
  <c r="R70" i="8"/>
  <c r="E371" i="4" s="1"/>
  <c r="I70" i="8"/>
  <c r="E278" i="4" s="1"/>
  <c r="C19" i="8"/>
  <c r="E15" i="4" s="1"/>
  <c r="O66" i="8"/>
  <c r="E336" i="4" s="1"/>
  <c r="C33" i="8"/>
  <c r="E29" i="4" s="1"/>
  <c r="I16" i="8"/>
  <c r="E74" i="4" s="1"/>
  <c r="I30" i="8"/>
  <c r="E88" i="4" s="1"/>
  <c r="F17" i="8"/>
  <c r="E44" i="4" s="1"/>
  <c r="R28" i="8"/>
  <c r="E179" i="4" s="1"/>
  <c r="C18" i="8"/>
  <c r="E14" i="4" s="1"/>
  <c r="R56" i="8"/>
  <c r="F66" i="8"/>
  <c r="E243" i="4" s="1"/>
  <c r="O45" i="8"/>
  <c r="E315" i="4" s="1"/>
  <c r="F16" i="8"/>
  <c r="E43" i="4" s="1"/>
  <c r="C49" i="8"/>
  <c r="E195" i="4" s="1"/>
  <c r="R7" i="8"/>
  <c r="E158" i="4" s="1"/>
  <c r="F8" i="8"/>
  <c r="E35" i="4" s="1"/>
  <c r="I49" i="8"/>
  <c r="E257" i="4" s="1"/>
  <c r="C62" i="8"/>
  <c r="E208" i="4" s="1"/>
  <c r="I29" i="8"/>
  <c r="E87" i="4" s="1"/>
  <c r="L6" i="8"/>
  <c r="E95" i="4" s="1"/>
  <c r="I57" i="8"/>
  <c r="E265" i="4" s="1"/>
  <c r="C11" i="8"/>
  <c r="E7" i="4" s="1"/>
  <c r="F29" i="8"/>
  <c r="E56" i="4" s="1"/>
  <c r="O51" i="8"/>
  <c r="E321" i="4" s="1"/>
  <c r="R42" i="8"/>
  <c r="E343" i="4" s="1"/>
  <c r="F59" i="8"/>
  <c r="O31" i="8"/>
  <c r="E151" i="4" s="1"/>
  <c r="R8" i="8"/>
  <c r="E159" i="4" s="1"/>
  <c r="I50" i="8"/>
  <c r="E258" i="4" s="1"/>
  <c r="O18" i="8"/>
  <c r="E138" i="4" s="1"/>
  <c r="C63" i="8"/>
  <c r="E209" i="4" s="1"/>
  <c r="F53" i="8"/>
  <c r="E230" i="4" s="1"/>
  <c r="I44" i="8"/>
  <c r="E252" i="4" s="1"/>
  <c r="O65" i="8"/>
  <c r="I63" i="8"/>
  <c r="E271" i="4" s="1"/>
  <c r="L13" i="8"/>
  <c r="E102" i="4" s="1"/>
  <c r="F9" i="8"/>
  <c r="E36" i="4" s="1"/>
  <c r="R22" i="8"/>
  <c r="E173" i="4" s="1"/>
  <c r="R57" i="8"/>
  <c r="E358" i="4" s="1"/>
  <c r="O59" i="8"/>
  <c r="E329" i="4" s="1"/>
  <c r="F23" i="8"/>
  <c r="E50" i="4" s="1"/>
  <c r="L62" i="8"/>
  <c r="R64" i="8"/>
  <c r="E365" i="4" s="1"/>
  <c r="F30" i="8"/>
  <c r="E57" i="4" s="1"/>
  <c r="I23" i="8"/>
  <c r="E81" i="4" s="1"/>
  <c r="O6" i="8"/>
  <c r="E126" i="4" s="1"/>
  <c r="C23" i="8"/>
  <c r="E19" i="4" s="1"/>
  <c r="L31" i="8"/>
  <c r="E120" i="4" s="1"/>
  <c r="C59" i="8"/>
  <c r="E205" i="4" s="1"/>
  <c r="L16" i="8"/>
  <c r="E105" i="4" s="1"/>
  <c r="F65" i="8"/>
  <c r="E242" i="4" s="1"/>
  <c r="C64" i="8"/>
  <c r="E210" i="4" s="1"/>
  <c r="C30" i="8"/>
  <c r="E26" i="4" s="1"/>
  <c r="O7" i="8"/>
  <c r="E127" i="4" s="1"/>
  <c r="C8" i="8"/>
  <c r="E4" i="4" s="1"/>
  <c r="R30" i="8"/>
  <c r="E181" i="4" s="1"/>
  <c r="C60" i="8"/>
  <c r="E206" i="4" s="1"/>
  <c r="R24" i="8"/>
  <c r="E175" i="4" s="1"/>
  <c r="R60" i="8"/>
  <c r="E361" i="4" s="1"/>
  <c r="O67" i="8"/>
  <c r="E337" i="4" s="1"/>
  <c r="O8" i="8"/>
  <c r="E128" i="4" s="1"/>
  <c r="O60" i="8"/>
  <c r="E330" i="4" s="1"/>
  <c r="C54" i="8"/>
  <c r="E200" i="4" s="1"/>
  <c r="F27" i="8"/>
  <c r="E54" i="4" s="1"/>
  <c r="L7" i="8"/>
  <c r="E96" i="4" s="1"/>
  <c r="O14" i="8"/>
  <c r="E134" i="4" s="1"/>
  <c r="C14" i="8"/>
  <c r="E10" i="4" s="1"/>
  <c r="F48" i="8"/>
  <c r="E225" i="4" s="1"/>
  <c r="I61" i="8"/>
  <c r="E269" i="4" s="1"/>
  <c r="L15" i="8"/>
  <c r="E104" i="4" s="1"/>
  <c r="C50" i="8"/>
  <c r="E196" i="4" s="1"/>
  <c r="C7" i="8"/>
  <c r="E3" i="4" s="1"/>
  <c r="O46" i="8"/>
  <c r="E316" i="4" s="1"/>
  <c r="F7" i="8"/>
  <c r="E34" i="4" s="1"/>
  <c r="O12" i="8"/>
  <c r="E132" i="4" s="1"/>
  <c r="O23" i="8"/>
  <c r="E143" i="4" s="1"/>
  <c r="R20" i="8"/>
  <c r="E171" i="4" s="1"/>
  <c r="F50" i="8"/>
  <c r="E227" i="4" s="1"/>
  <c r="O29" i="8"/>
  <c r="E149" i="4" s="1"/>
  <c r="C68" i="8"/>
  <c r="E214" i="4" s="1"/>
  <c r="O22" i="8"/>
  <c r="E142" i="4" s="1"/>
  <c r="F58" i="8"/>
  <c r="E235" i="4" s="1"/>
  <c r="I45" i="8"/>
  <c r="E253" i="4" s="1"/>
  <c r="C20" i="8"/>
  <c r="E16" i="4" s="1"/>
  <c r="R13" i="8"/>
  <c r="E164" i="4" s="1"/>
  <c r="C17" i="8"/>
  <c r="E13" i="4" s="1"/>
  <c r="I10" i="8"/>
  <c r="E68" i="4" s="1"/>
  <c r="L35" i="8"/>
  <c r="E124" i="4" s="1"/>
  <c r="F44" i="8"/>
  <c r="E221" i="4" s="1"/>
  <c r="R52" i="8"/>
  <c r="E353" i="4" s="1"/>
  <c r="C22" i="8"/>
  <c r="E18" i="4" s="1"/>
  <c r="S36" i="8"/>
  <c r="R66" i="8"/>
  <c r="E367" i="4" s="1"/>
  <c r="R47" i="8"/>
  <c r="E348" i="4" s="1"/>
  <c r="F11" i="8"/>
  <c r="E38" i="4" s="1"/>
  <c r="R33" i="8"/>
  <c r="E184" i="4" s="1"/>
  <c r="L43" i="8"/>
  <c r="E282" i="4" s="1"/>
  <c r="R54" i="8"/>
  <c r="E355" i="4" s="1"/>
  <c r="I20" i="8"/>
  <c r="E78" i="4" s="1"/>
  <c r="C61" i="8"/>
  <c r="E207" i="4" s="1"/>
  <c r="F63" i="8"/>
  <c r="E240" i="4" s="1"/>
  <c r="J72" i="8"/>
  <c r="L9" i="8"/>
  <c r="E98" i="4" s="1"/>
  <c r="I13" i="8"/>
  <c r="E71" i="4" s="1"/>
  <c r="I19" i="8"/>
  <c r="E77" i="4" s="1"/>
  <c r="C24" i="8"/>
  <c r="E20" i="4" s="1"/>
  <c r="I12" i="8"/>
  <c r="E70" i="4" s="1"/>
  <c r="I24" i="8"/>
  <c r="E82" i="4" s="1"/>
  <c r="R32" i="8"/>
  <c r="E183" i="4" s="1"/>
  <c r="L49" i="8"/>
  <c r="E288" i="4" s="1"/>
  <c r="F42" i="8"/>
  <c r="E219" i="4" s="1"/>
  <c r="C57" i="8"/>
  <c r="E203" i="4" s="1"/>
  <c r="R55" i="8"/>
  <c r="E356" i="4" s="1"/>
  <c r="O68" i="8"/>
  <c r="E338" i="4" s="1"/>
  <c r="R19" i="8"/>
  <c r="E170" i="4" s="1"/>
  <c r="C27" i="8"/>
  <c r="E23" i="4" s="1"/>
  <c r="I33" i="8"/>
  <c r="E91" i="4" s="1"/>
  <c r="L60" i="8"/>
  <c r="E299" i="4" s="1"/>
  <c r="L57" i="8"/>
  <c r="E296" i="4" s="1"/>
  <c r="L28" i="8"/>
  <c r="E117" i="4" s="1"/>
  <c r="I59" i="8"/>
  <c r="E267" i="4" s="1"/>
  <c r="I11" i="8"/>
  <c r="E69" i="4" s="1"/>
  <c r="F13" i="8"/>
  <c r="E40" i="4" s="1"/>
  <c r="I6" i="8"/>
  <c r="E64" i="4" s="1"/>
  <c r="O13" i="8"/>
  <c r="E133" i="4" s="1"/>
  <c r="O19" i="8"/>
  <c r="E139" i="4" s="1"/>
  <c r="I7" i="8"/>
  <c r="E65" i="4" s="1"/>
  <c r="C13" i="8"/>
  <c r="E9" i="4" s="1"/>
  <c r="I25" i="8"/>
  <c r="E83" i="4" s="1"/>
  <c r="F32" i="8"/>
  <c r="E59" i="4" s="1"/>
  <c r="R48" i="8"/>
  <c r="E349" i="4" s="1"/>
  <c r="O35" i="8"/>
  <c r="E155" i="4" s="1"/>
  <c r="C58" i="8"/>
  <c r="E204" i="4" s="1"/>
  <c r="L56" i="8"/>
  <c r="E295" i="4" s="1"/>
  <c r="O69" i="8"/>
  <c r="E339" i="4" s="1"/>
  <c r="L18" i="8"/>
  <c r="E107" i="4" s="1"/>
  <c r="F33" i="8"/>
  <c r="E60" i="4" s="1"/>
  <c r="L72" i="8"/>
  <c r="E311" i="4" s="1"/>
  <c r="L63" i="8"/>
  <c r="E302" i="4" s="1"/>
  <c r="I55" i="8"/>
  <c r="E263" i="4" s="1"/>
  <c r="L51" i="8"/>
  <c r="E290" i="4" s="1"/>
  <c r="R10" i="8"/>
  <c r="E161" i="4" s="1"/>
  <c r="O9" i="8"/>
  <c r="E129" i="4" s="1"/>
  <c r="C15" i="8"/>
  <c r="E11" i="4" s="1"/>
  <c r="L21" i="8"/>
  <c r="E110" i="4" s="1"/>
  <c r="C9" i="8"/>
  <c r="E5" i="4" s="1"/>
  <c r="C16" i="8"/>
  <c r="E12" i="4" s="1"/>
  <c r="C44" i="8"/>
  <c r="E190" i="4" s="1"/>
  <c r="L29" i="8"/>
  <c r="E118" i="4" s="1"/>
  <c r="L45" i="8"/>
  <c r="E284" i="4" s="1"/>
  <c r="O33" i="8"/>
  <c r="E153" i="4" s="1"/>
  <c r="F51" i="8"/>
  <c r="E228" i="4" s="1"/>
  <c r="I62" i="8"/>
  <c r="E270" i="4" s="1"/>
  <c r="L24" i="8"/>
  <c r="E113" i="4" s="1"/>
  <c r="C29" i="8"/>
  <c r="E25" i="4" s="1"/>
  <c r="L25" i="8"/>
  <c r="E114" i="4" s="1"/>
  <c r="I54" i="8"/>
  <c r="E262" i="4" s="1"/>
  <c r="R68" i="8"/>
  <c r="E369" i="4" s="1"/>
  <c r="O48" i="8"/>
  <c r="E318" i="4" s="1"/>
  <c r="F47" i="8"/>
  <c r="E224" i="4" s="1"/>
  <c r="O71" i="8"/>
  <c r="E341" i="4" s="1"/>
  <c r="L10" i="8"/>
  <c r="E99" i="4" s="1"/>
  <c r="O36" i="8"/>
  <c r="E156" i="4" s="1"/>
  <c r="F10" i="8"/>
  <c r="E37" i="4" s="1"/>
  <c r="L11" i="8"/>
  <c r="E100" i="4" s="1"/>
  <c r="O15" i="8"/>
  <c r="E135" i="4" s="1"/>
  <c r="L22" i="8"/>
  <c r="E111" i="4" s="1"/>
  <c r="C10" i="8"/>
  <c r="E6" i="4" s="1"/>
  <c r="O16" i="8"/>
  <c r="E136" i="4" s="1"/>
  <c r="C43" i="8"/>
  <c r="E189" i="4" s="1"/>
  <c r="F28" i="8"/>
  <c r="E55" i="4" s="1"/>
  <c r="R44" i="8"/>
  <c r="E345" i="4" s="1"/>
  <c r="I32" i="8"/>
  <c r="E90" i="4" s="1"/>
  <c r="R51" i="8"/>
  <c r="E352" i="4" s="1"/>
  <c r="I65" i="8"/>
  <c r="E273" i="4" s="1"/>
  <c r="R23" i="8"/>
  <c r="E174" i="4" s="1"/>
  <c r="I27" i="8"/>
  <c r="E85" i="4" s="1"/>
  <c r="C65" i="8"/>
  <c r="E211" i="4" s="1"/>
  <c r="O55" i="8"/>
  <c r="E325" i="4" s="1"/>
  <c r="F70" i="8"/>
  <c r="E247" i="4" s="1"/>
  <c r="I46" i="8"/>
  <c r="E254" i="4" s="1"/>
  <c r="L42" i="8"/>
  <c r="E281" i="4" s="1"/>
  <c r="I21" i="8"/>
  <c r="E79" i="4" s="1"/>
  <c r="R27" i="8"/>
  <c r="E178" i="4" s="1"/>
  <c r="O63" i="8"/>
  <c r="E333" i="4" s="1"/>
  <c r="C71" i="8"/>
  <c r="E217" i="4" s="1"/>
  <c r="O21" i="8"/>
  <c r="E141" i="4" s="1"/>
  <c r="F12" i="8"/>
  <c r="E39" i="4" s="1"/>
  <c r="F54" i="8"/>
  <c r="E231" i="4" s="1"/>
  <c r="I48" i="8"/>
  <c r="E256" i="4" s="1"/>
  <c r="L70" i="8"/>
  <c r="E309" i="4" s="1"/>
  <c r="L71" i="8"/>
  <c r="E310" i="4" s="1"/>
  <c r="I53" i="8"/>
  <c r="E261" i="4" s="1"/>
  <c r="L32" i="8"/>
  <c r="E121" i="4" s="1"/>
  <c r="L44" i="8"/>
  <c r="E283" i="4" s="1"/>
  <c r="L53" i="8"/>
  <c r="E292" i="4" s="1"/>
  <c r="F14" i="8"/>
  <c r="E41" i="4" s="1"/>
  <c r="F18" i="8"/>
  <c r="E45" i="4" s="1"/>
  <c r="R53" i="8"/>
  <c r="E354" i="4" s="1"/>
  <c r="O64" i="8"/>
  <c r="E334" i="4" s="1"/>
  <c r="C72" i="8"/>
  <c r="E218" i="4" s="1"/>
  <c r="C21" i="8"/>
  <c r="E17" i="4" s="1"/>
  <c r="R9" i="8"/>
  <c r="E160" i="4" s="1"/>
  <c r="R17" i="8"/>
  <c r="E168" i="4" s="1"/>
  <c r="L50" i="8"/>
  <c r="E289" i="4" s="1"/>
  <c r="C51" i="8"/>
  <c r="E197" i="4" s="1"/>
  <c r="F71" i="8"/>
  <c r="E248" i="4" s="1"/>
  <c r="R69" i="8"/>
  <c r="E370" i="4" s="1"/>
  <c r="C52" i="8"/>
  <c r="E198" i="4" s="1"/>
  <c r="F31" i="8"/>
  <c r="E58" i="4" s="1"/>
  <c r="F43" i="8"/>
  <c r="E220" i="4" s="1"/>
  <c r="O61" i="8"/>
  <c r="E331" i="4" s="1"/>
  <c r="R12" i="8"/>
  <c r="E163" i="4" s="1"/>
  <c r="O70" i="8"/>
  <c r="E340" i="4" s="1"/>
  <c r="L46" i="8"/>
  <c r="E285" i="4" s="1"/>
  <c r="I67" i="8"/>
  <c r="E275" i="4" s="1"/>
  <c r="F25" i="8"/>
  <c r="E52" i="4" s="1"/>
  <c r="F19" i="8"/>
  <c r="E46" i="4" s="1"/>
  <c r="O26" i="8"/>
  <c r="E146" i="4" s="1"/>
  <c r="L17" i="8"/>
  <c r="E106" i="4" s="1"/>
  <c r="C36" i="8"/>
  <c r="E32" i="4" s="1"/>
  <c r="R62" i="8"/>
  <c r="E363" i="4" s="1"/>
  <c r="R65" i="8"/>
  <c r="E366" i="4" s="1"/>
  <c r="L58" i="8"/>
  <c r="E297" i="4" s="1"/>
  <c r="O47" i="8"/>
  <c r="E317" i="4" s="1"/>
  <c r="C53" i="8"/>
  <c r="E199" i="4" s="1"/>
  <c r="O30" i="8"/>
  <c r="E150" i="4" s="1"/>
  <c r="I69" i="8"/>
  <c r="E277" i="4" s="1"/>
  <c r="I47" i="8"/>
  <c r="E255" i="4" s="1"/>
  <c r="R67" i="8"/>
  <c r="S67" i="8" s="1"/>
  <c r="L59" i="8"/>
  <c r="E298" i="4" s="1"/>
  <c r="I51" i="8"/>
  <c r="E259" i="4" s="1"/>
  <c r="R34" i="8"/>
  <c r="E185" i="4" s="1"/>
  <c r="O50" i="8"/>
  <c r="E320" i="4" s="1"/>
  <c r="F55" i="8"/>
  <c r="E232" i="4" s="1"/>
  <c r="I28" i="8"/>
  <c r="E86" i="4" s="1"/>
  <c r="O20" i="8"/>
  <c r="E140" i="4" s="1"/>
  <c r="O62" i="8"/>
  <c r="E332" i="4" s="1"/>
  <c r="R61" i="8"/>
  <c r="E362" i="4" s="1"/>
  <c r="F49" i="8"/>
  <c r="E226" i="4" s="1"/>
  <c r="C34" i="8"/>
  <c r="E30" i="4" s="1"/>
  <c r="I60" i="8"/>
  <c r="E268" i="4" s="1"/>
  <c r="L23" i="8"/>
  <c r="E112" i="4" s="1"/>
  <c r="L52" i="8"/>
  <c r="E291" i="4" s="1"/>
  <c r="L64" i="8"/>
  <c r="E303" i="4" s="1"/>
  <c r="C67" i="8"/>
  <c r="E213" i="4" s="1"/>
  <c r="O34" i="8"/>
  <c r="E154" i="4" s="1"/>
  <c r="L66" i="8"/>
  <c r="E305" i="4" s="1"/>
  <c r="I58" i="8"/>
  <c r="E266" i="4" s="1"/>
  <c r="L14" i="8"/>
  <c r="E103" i="4" s="1"/>
  <c r="R18" i="8"/>
  <c r="E169" i="4" s="1"/>
  <c r="I68" i="8"/>
  <c r="E276" i="4" s="1"/>
  <c r="L30" i="8"/>
  <c r="E119" i="4" s="1"/>
  <c r="F62" i="8"/>
  <c r="E239" i="4" s="1"/>
  <c r="F64" i="8"/>
  <c r="E241" i="4" s="1"/>
  <c r="F72" i="8"/>
  <c r="E249" i="4" s="1"/>
  <c r="O56" i="8"/>
  <c r="E326" i="4" s="1"/>
  <c r="C47" i="8"/>
  <c r="E193" i="4" s="1"/>
  <c r="R26" i="8"/>
  <c r="E177" i="4" s="1"/>
  <c r="R45" i="8"/>
  <c r="E346" i="4" s="1"/>
  <c r="O57" i="8"/>
  <c r="E327" i="4" s="1"/>
  <c r="C66" i="8"/>
  <c r="E212" i="4" s="1"/>
  <c r="R16" i="8"/>
  <c r="E167" i="4" s="1"/>
  <c r="O54" i="8"/>
  <c r="E324" i="4" s="1"/>
  <c r="O42" i="8"/>
  <c r="E312" i="4" s="1"/>
  <c r="AH19" i="1"/>
  <c r="G2" i="4"/>
  <c r="R31" i="8"/>
  <c r="E182" i="4" s="1"/>
  <c r="L48" i="8"/>
  <c r="E287" i="4" s="1"/>
  <c r="F56" i="8"/>
  <c r="E233" i="4" s="1"/>
  <c r="F69" i="8"/>
  <c r="E246" i="4" s="1"/>
  <c r="R72" i="8"/>
  <c r="E373" i="4" s="1"/>
  <c r="O49" i="8"/>
  <c r="E319" i="4" s="1"/>
  <c r="L65" i="8"/>
  <c r="E304" i="4" s="1"/>
  <c r="L67" i="8"/>
  <c r="E306" i="4" s="1"/>
  <c r="P72" i="8"/>
  <c r="F24" i="8"/>
  <c r="E51" i="4" s="1"/>
  <c r="F57" i="8"/>
  <c r="E234" i="4" s="1"/>
  <c r="F68" i="8"/>
  <c r="E245" i="4" s="1"/>
  <c r="C46" i="8"/>
  <c r="E192" i="4" s="1"/>
  <c r="I26" i="8"/>
  <c r="E84" i="4" s="1"/>
  <c r="R58" i="8"/>
  <c r="E359" i="4" s="1"/>
  <c r="O53" i="8"/>
  <c r="E323" i="4" s="1"/>
  <c r="F61" i="8"/>
  <c r="E238" i="4" s="1"/>
  <c r="O27" i="8"/>
  <c r="E147" i="4" s="1"/>
  <c r="G35" i="8"/>
  <c r="R25" i="8"/>
  <c r="E176" i="4" s="1"/>
  <c r="G36" i="8"/>
  <c r="M36" i="8"/>
  <c r="E301" i="4"/>
  <c r="E322" i="4"/>
  <c r="E49" i="4"/>
  <c r="E335" i="4"/>
  <c r="E236" i="4"/>
  <c r="E165" i="4"/>
  <c r="E264" i="4"/>
  <c r="E307" i="4"/>
  <c r="E357" i="4"/>
  <c r="E80" i="4"/>
  <c r="E308" i="4"/>
  <c r="D6" i="8"/>
  <c r="E2" i="4"/>
  <c r="J42" i="8" l="1"/>
  <c r="J43" i="8" s="1"/>
  <c r="D42" i="8"/>
  <c r="D43" i="8" s="1"/>
  <c r="M6" i="8"/>
  <c r="M7" i="8" s="1"/>
  <c r="S6" i="8"/>
  <c r="G6" i="8"/>
  <c r="G7" i="8" s="1"/>
  <c r="P6" i="8"/>
  <c r="P7" i="8" s="1"/>
  <c r="S42" i="8"/>
  <c r="S43" i="8" s="1"/>
  <c r="D7" i="8"/>
  <c r="D8" i="8" s="1"/>
  <c r="D9" i="8" s="1"/>
  <c r="S66" i="8"/>
  <c r="E368" i="4"/>
  <c r="M42" i="8"/>
  <c r="M43" i="8" s="1"/>
  <c r="G42" i="8"/>
  <c r="G43" i="8" s="1"/>
  <c r="J6" i="8"/>
  <c r="J7" i="8" s="1"/>
  <c r="D37" i="8"/>
  <c r="D38" i="8" s="1"/>
  <c r="P42" i="8"/>
  <c r="P43" i="8" s="1"/>
  <c r="P44" i="8" s="1"/>
  <c r="M37" i="8"/>
  <c r="J73" i="8"/>
  <c r="J37" i="8"/>
  <c r="P37" i="8"/>
  <c r="G37" i="8"/>
  <c r="G73" i="8"/>
  <c r="D73" i="8"/>
  <c r="M73" i="8"/>
  <c r="S37" i="8"/>
  <c r="P73" i="8"/>
  <c r="S73" i="8"/>
  <c r="S7" i="8"/>
  <c r="M8" i="8"/>
  <c r="D44" i="8" l="1"/>
  <c r="D45" i="8" s="1"/>
  <c r="D46" i="8" s="1"/>
  <c r="D47" i="8" s="1"/>
  <c r="J44" i="8"/>
  <c r="J45" i="8" s="1"/>
  <c r="J46" i="8" s="1"/>
  <c r="P8" i="8"/>
  <c r="P9" i="8" s="1"/>
  <c r="S44" i="8"/>
  <c r="S45" i="8" s="1"/>
  <c r="S46" i="8" s="1"/>
  <c r="J12" i="1"/>
  <c r="J8" i="8"/>
  <c r="J9" i="8" s="1"/>
  <c r="J10" i="8" s="1"/>
  <c r="J11" i="8" s="1"/>
  <c r="J12" i="8" s="1"/>
  <c r="J13" i="8" s="1"/>
  <c r="M44" i="8"/>
  <c r="M45" i="8" s="1"/>
  <c r="P45" i="8"/>
  <c r="P46" i="8" s="1"/>
  <c r="P47" i="8" s="1"/>
  <c r="P48" i="8" s="1"/>
  <c r="P49" i="8" s="1"/>
  <c r="G38" i="8"/>
  <c r="J38" i="8" s="1"/>
  <c r="M38" i="8" s="1"/>
  <c r="P38" i="8" s="1"/>
  <c r="S38" i="8" s="1"/>
  <c r="D74" i="8" s="1"/>
  <c r="G74" i="8" s="1"/>
  <c r="J74" i="8" s="1"/>
  <c r="M74" i="8" s="1"/>
  <c r="P74" i="8" s="1"/>
  <c r="S74" i="8" s="1"/>
  <c r="K38" i="8"/>
  <c r="E74" i="8"/>
  <c r="Q74" i="8"/>
  <c r="D10" i="8"/>
  <c r="D11" i="8" s="1"/>
  <c r="G44" i="8"/>
  <c r="G45" i="8" s="1"/>
  <c r="S8" i="8"/>
  <c r="S9" i="8" s="1"/>
  <c r="G8" i="8"/>
  <c r="G9" i="8" s="1"/>
  <c r="G10" i="8" s="1"/>
  <c r="G11" i="8" s="1"/>
  <c r="G12" i="8" s="1"/>
  <c r="M9" i="8"/>
  <c r="P10" i="8" l="1"/>
  <c r="J47" i="8"/>
  <c r="J48" i="8" s="1"/>
  <c r="J49" i="8"/>
  <c r="J50" i="8" s="1"/>
  <c r="D48" i="8"/>
  <c r="D49" i="8" s="1"/>
  <c r="D50" i="8" s="1"/>
  <c r="G46" i="8"/>
  <c r="G47" i="8" s="1"/>
  <c r="G48" i="8" s="1"/>
  <c r="G49" i="8" s="1"/>
  <c r="D12" i="8"/>
  <c r="D13" i="8" s="1"/>
  <c r="D14" i="8" s="1"/>
  <c r="P50" i="8"/>
  <c r="P51" i="8" s="1"/>
  <c r="S10" i="8"/>
  <c r="S11" i="8" s="1"/>
  <c r="S12" i="8" s="1"/>
  <c r="S13" i="8" s="1"/>
  <c r="P11" i="8"/>
  <c r="P12" i="8" s="1"/>
  <c r="S47" i="8"/>
  <c r="M10" i="8"/>
  <c r="M11" i="8" s="1"/>
  <c r="M12" i="8" s="1"/>
  <c r="J14" i="8"/>
  <c r="M46" i="8"/>
  <c r="M47" i="8" s="1"/>
  <c r="M48" i="8" s="1"/>
  <c r="G13" i="8"/>
  <c r="AG21" i="1"/>
  <c r="AG22" i="1"/>
  <c r="AG23" i="1"/>
  <c r="AG24" i="1"/>
  <c r="AG25" i="1"/>
  <c r="AG26" i="1"/>
  <c r="AG27" i="1"/>
  <c r="AG28" i="1"/>
  <c r="AP28" i="1" s="1"/>
  <c r="AG29" i="1"/>
  <c r="AP29" i="1" s="1"/>
  <c r="AG30" i="1"/>
  <c r="AP30" i="1" s="1"/>
  <c r="AG31" i="1"/>
  <c r="AP31" i="1" s="1"/>
  <c r="AG32" i="1"/>
  <c r="AP32" i="1" s="1"/>
  <c r="AG33" i="1"/>
  <c r="AP33" i="1" s="1"/>
  <c r="AG19" i="1"/>
  <c r="AF22" i="1"/>
  <c r="AH22" i="1" s="1"/>
  <c r="AF23" i="1"/>
  <c r="AH23" i="1" s="1"/>
  <c r="AF24" i="1"/>
  <c r="AH24" i="1" s="1"/>
  <c r="AF25" i="1"/>
  <c r="AF26" i="1"/>
  <c r="AF27" i="1"/>
  <c r="AF28" i="1"/>
  <c r="AF29" i="1"/>
  <c r="AF30" i="1"/>
  <c r="AF31" i="1"/>
  <c r="AF32" i="1"/>
  <c r="AF33" i="1"/>
  <c r="AO19" i="1"/>
  <c r="AF20" i="1"/>
  <c r="AF21" i="1"/>
  <c r="AH21" i="1" s="1"/>
  <c r="J51" i="8" l="1"/>
  <c r="J52" i="8" s="1"/>
  <c r="P52" i="8"/>
  <c r="P53" i="8" s="1"/>
  <c r="P54" i="8" s="1"/>
  <c r="P55" i="8" s="1"/>
  <c r="P56" i="8" s="1"/>
  <c r="P57" i="8" s="1"/>
  <c r="AH20" i="1"/>
  <c r="AP19" i="1"/>
  <c r="P13" i="8"/>
  <c r="P14" i="8" s="1"/>
  <c r="AI25" i="1"/>
  <c r="AI33" i="1"/>
  <c r="AI31" i="1"/>
  <c r="AI29" i="1"/>
  <c r="AI27" i="1"/>
  <c r="AI32" i="1"/>
  <c r="AI30" i="1"/>
  <c r="AI28" i="1"/>
  <c r="AI26" i="1"/>
  <c r="AH33" i="1"/>
  <c r="AH29" i="1"/>
  <c r="AH27" i="1"/>
  <c r="AH25" i="1"/>
  <c r="AH31" i="1"/>
  <c r="AH32" i="1"/>
  <c r="AH30" i="1"/>
  <c r="AH28" i="1"/>
  <c r="AH26" i="1"/>
  <c r="AI24" i="1"/>
  <c r="AJ24" i="1" s="1"/>
  <c r="AI23" i="1"/>
  <c r="AJ23" i="1" s="1"/>
  <c r="AI22" i="1"/>
  <c r="AJ22" i="1" s="1"/>
  <c r="AI21" i="1"/>
  <c r="AJ21" i="1" s="1"/>
  <c r="AI20" i="1"/>
  <c r="D51" i="8"/>
  <c r="D52" i="8" s="1"/>
  <c r="D15" i="8"/>
  <c r="D16" i="8" s="1"/>
  <c r="M13" i="8"/>
  <c r="M14" i="8" s="1"/>
  <c r="M15" i="8" s="1"/>
  <c r="J15" i="8"/>
  <c r="J16" i="8" s="1"/>
  <c r="S14" i="8"/>
  <c r="S15" i="8" s="1"/>
  <c r="AI19" i="1"/>
  <c r="AJ19" i="1" s="1"/>
  <c r="AK19" i="1" s="1"/>
  <c r="AL19" i="1" s="1"/>
  <c r="L19" i="1" s="1"/>
  <c r="S48" i="8"/>
  <c r="S49" i="8" s="1"/>
  <c r="G14" i="8"/>
  <c r="G15" i="8" s="1"/>
  <c r="G50" i="8"/>
  <c r="G51" i="8" s="1"/>
  <c r="M49" i="8"/>
  <c r="M50" i="8" s="1"/>
  <c r="M51" i="8" s="1"/>
  <c r="M52" i="8" s="1"/>
  <c r="M53" i="8" s="1"/>
  <c r="AO20" i="1"/>
  <c r="AO21" i="1" s="1"/>
  <c r="AO22" i="1" s="1"/>
  <c r="AO23" i="1" s="1"/>
  <c r="AO24" i="1" s="1"/>
  <c r="AO25" i="1" s="1"/>
  <c r="AN33" i="1"/>
  <c r="AR33" i="1" s="1"/>
  <c r="AN32" i="1"/>
  <c r="AN31" i="1"/>
  <c r="AR31" i="1" s="1"/>
  <c r="AN30" i="1"/>
  <c r="AN29" i="1"/>
  <c r="AR29" i="1" s="1"/>
  <c r="AN28" i="1"/>
  <c r="AR28" i="1" s="1"/>
  <c r="AN27" i="1"/>
  <c r="AN26" i="1"/>
  <c r="AN25" i="1"/>
  <c r="AM33" i="1"/>
  <c r="AM32" i="1"/>
  <c r="AM31" i="1"/>
  <c r="AM30" i="1"/>
  <c r="AM29" i="1"/>
  <c r="AM28" i="1"/>
  <c r="AM27" i="1"/>
  <c r="AM26" i="1"/>
  <c r="AM25" i="1"/>
  <c r="AN24" i="1"/>
  <c r="AM20" i="1"/>
  <c r="AM23" i="1"/>
  <c r="AN23" i="1"/>
  <c r="AM24" i="1"/>
  <c r="AN21" i="1"/>
  <c r="AM22" i="1"/>
  <c r="AN22" i="1"/>
  <c r="AM19" i="1"/>
  <c r="AQ19" i="1" s="1"/>
  <c r="AN20" i="1"/>
  <c r="AN19" i="1"/>
  <c r="AM21" i="1"/>
  <c r="J53" i="8" l="1"/>
  <c r="J54" i="8" s="1"/>
  <c r="J55" i="8" s="1"/>
  <c r="P15" i="8"/>
  <c r="P16" i="8" s="1"/>
  <c r="P17" i="8" s="1"/>
  <c r="AR19" i="1"/>
  <c r="AS19" i="1" s="1"/>
  <c r="AD19" i="1" s="1"/>
  <c r="AQ20" i="1"/>
  <c r="AJ20" i="1"/>
  <c r="AK20" i="1" s="1"/>
  <c r="AL20" i="1" s="1"/>
  <c r="D17" i="8"/>
  <c r="D18" i="8" s="1"/>
  <c r="AP25" i="1"/>
  <c r="AR25" i="1" s="1"/>
  <c r="AO26" i="1"/>
  <c r="AJ31" i="1"/>
  <c r="AK22" i="1"/>
  <c r="AP21" i="1"/>
  <c r="AR21" i="1" s="1"/>
  <c r="AK23" i="1"/>
  <c r="AP24" i="1"/>
  <c r="AP20" i="1"/>
  <c r="AJ33" i="1"/>
  <c r="AP23" i="1"/>
  <c r="AK21" i="1"/>
  <c r="AP22" i="1"/>
  <c r="AR22" i="1" s="1"/>
  <c r="AJ28" i="1"/>
  <c r="AK28" i="1" s="1"/>
  <c r="AL28" i="1" s="1"/>
  <c r="AJ27" i="1"/>
  <c r="AK27" i="1" s="1"/>
  <c r="AL27" i="1" s="1"/>
  <c r="AQ25" i="1"/>
  <c r="AJ25" i="1"/>
  <c r="AK24" i="1"/>
  <c r="AJ30" i="1"/>
  <c r="AJ32" i="1"/>
  <c r="AJ26" i="1"/>
  <c r="AJ29" i="1"/>
  <c r="AK29" i="1" s="1"/>
  <c r="AL29" i="1" s="1"/>
  <c r="AR30" i="1"/>
  <c r="AR32" i="1"/>
  <c r="AQ26" i="1"/>
  <c r="D53" i="8"/>
  <c r="S50" i="8"/>
  <c r="S51" i="8" s="1"/>
  <c r="S52" i="8" s="1"/>
  <c r="S53" i="8" s="1"/>
  <c r="S54" i="8" s="1"/>
  <c r="S55" i="8" s="1"/>
  <c r="G16" i="8"/>
  <c r="G17" i="8" s="1"/>
  <c r="J17" i="8"/>
  <c r="J18" i="8" s="1"/>
  <c r="J19" i="8" s="1"/>
  <c r="J20" i="8" s="1"/>
  <c r="J21" i="8" s="1"/>
  <c r="S16" i="8"/>
  <c r="S17" i="8" s="1"/>
  <c r="S18" i="8" s="1"/>
  <c r="S19" i="8" s="1"/>
  <c r="S20" i="8" s="1"/>
  <c r="M54" i="8"/>
  <c r="P58" i="8"/>
  <c r="P59" i="8" s="1"/>
  <c r="G52" i="8"/>
  <c r="G53" i="8" s="1"/>
  <c r="M16" i="8"/>
  <c r="M17" i="8" s="1"/>
  <c r="AQ24" i="1"/>
  <c r="AQ23" i="1"/>
  <c r="AR24" i="1"/>
  <c r="AQ21" i="1"/>
  <c r="AQ22" i="1"/>
  <c r="AR23" i="1"/>
  <c r="B4" i="7"/>
  <c r="B5" i="7"/>
  <c r="L20" i="1" l="1"/>
  <c r="T20" i="1" s="1"/>
  <c r="L29" i="1"/>
  <c r="T29" i="1" s="1"/>
  <c r="L28" i="1"/>
  <c r="T28" i="1" s="1"/>
  <c r="L27" i="1"/>
  <c r="T27" i="1" s="1"/>
  <c r="J56" i="8"/>
  <c r="J57" i="8" s="1"/>
  <c r="J58" i="8" s="1"/>
  <c r="J59" i="8" s="1"/>
  <c r="D19" i="8"/>
  <c r="D20" i="8" s="1"/>
  <c r="D21" i="8" s="1"/>
  <c r="D22" i="8" s="1"/>
  <c r="D23" i="8" s="1"/>
  <c r="D24" i="8" s="1"/>
  <c r="AL21" i="1"/>
  <c r="AL22" i="1"/>
  <c r="AL23" i="1"/>
  <c r="AL24" i="1"/>
  <c r="AS23" i="1"/>
  <c r="AD23" i="1" s="1"/>
  <c r="AK30" i="1"/>
  <c r="G18" i="8"/>
  <c r="G19" i="8" s="1"/>
  <c r="G20" i="8" s="1"/>
  <c r="G21" i="8" s="1"/>
  <c r="AO27" i="1"/>
  <c r="AP26" i="1"/>
  <c r="AR26" i="1" s="1"/>
  <c r="AS26" i="1" s="1"/>
  <c r="AD26" i="1" s="1"/>
  <c r="AK33" i="1"/>
  <c r="AK32" i="1"/>
  <c r="AK31" i="1"/>
  <c r="AS25" i="1"/>
  <c r="AD25" i="1" s="1"/>
  <c r="AK26" i="1"/>
  <c r="AK25" i="1"/>
  <c r="AR20" i="1"/>
  <c r="AS20" i="1" s="1"/>
  <c r="AD20" i="1" s="1"/>
  <c r="AS22" i="1"/>
  <c r="AD22" i="1" s="1"/>
  <c r="AS21" i="1"/>
  <c r="AD21" i="1" s="1"/>
  <c r="AS24" i="1"/>
  <c r="AD24" i="1" s="1"/>
  <c r="D54" i="8"/>
  <c r="S21" i="8"/>
  <c r="S22" i="8" s="1"/>
  <c r="P18" i="8"/>
  <c r="P19" i="8" s="1"/>
  <c r="M55" i="8"/>
  <c r="M56" i="8" s="1"/>
  <c r="M57" i="8" s="1"/>
  <c r="M58" i="8" s="1"/>
  <c r="M59" i="8" s="1"/>
  <c r="M60" i="8" s="1"/>
  <c r="M18" i="8"/>
  <c r="M19" i="8" s="1"/>
  <c r="G54" i="8"/>
  <c r="G55" i="8" s="1"/>
  <c r="G56" i="8" s="1"/>
  <c r="P60" i="8"/>
  <c r="P61" i="8" s="1"/>
  <c r="P62" i="8" s="1"/>
  <c r="P63" i="8" s="1"/>
  <c r="P64" i="8" s="1"/>
  <c r="S56" i="8"/>
  <c r="S57" i="8" s="1"/>
  <c r="J22" i="8"/>
  <c r="J23" i="8" s="1"/>
  <c r="AG17" i="1"/>
  <c r="T38" i="1" s="1"/>
  <c r="A42" i="1"/>
  <c r="J60" i="8" l="1"/>
  <c r="J61" i="8" s="1"/>
  <c r="L23" i="1"/>
  <c r="T23" i="1" s="1"/>
  <c r="L24" i="1"/>
  <c r="T24" i="1" s="1"/>
  <c r="L22" i="1"/>
  <c r="T22" i="1" s="1"/>
  <c r="L21" i="1"/>
  <c r="T21" i="1" s="1"/>
  <c r="F41" i="1"/>
  <c r="G22" i="8"/>
  <c r="G23" i="8" s="1"/>
  <c r="G24" i="8" s="1"/>
  <c r="G25" i="8" s="1"/>
  <c r="G26" i="8" s="1"/>
  <c r="G27" i="8" s="1"/>
  <c r="G28" i="8" s="1"/>
  <c r="M61" i="8"/>
  <c r="M62" i="8" s="1"/>
  <c r="M63" i="8" s="1"/>
  <c r="M64" i="8" s="1"/>
  <c r="M65" i="8" s="1"/>
  <c r="M66" i="8" s="1"/>
  <c r="M67" i="8" s="1"/>
  <c r="AL25" i="1"/>
  <c r="AL26" i="1"/>
  <c r="AL30" i="1"/>
  <c r="AL31" i="1"/>
  <c r="AL32" i="1"/>
  <c r="AL33" i="1"/>
  <c r="S23" i="8"/>
  <c r="S24" i="8" s="1"/>
  <c r="AO28" i="1"/>
  <c r="AP27" i="1"/>
  <c r="AR27" i="1" s="1"/>
  <c r="AQ27" i="1"/>
  <c r="D55" i="8"/>
  <c r="D56" i="8" s="1"/>
  <c r="D57" i="8" s="1"/>
  <c r="D58" i="8" s="1"/>
  <c r="P65" i="8"/>
  <c r="P66" i="8" s="1"/>
  <c r="J24" i="8"/>
  <c r="J25" i="8" s="1"/>
  <c r="J26" i="8" s="1"/>
  <c r="J27" i="8" s="1"/>
  <c r="J28" i="8" s="1"/>
  <c r="J29" i="8" s="1"/>
  <c r="S58" i="8"/>
  <c r="S59" i="8" s="1"/>
  <c r="S60" i="8" s="1"/>
  <c r="S61" i="8" s="1"/>
  <c r="S62" i="8" s="1"/>
  <c r="M20" i="8"/>
  <c r="M21" i="8" s="1"/>
  <c r="P20" i="8"/>
  <c r="G57" i="8"/>
  <c r="D25" i="8"/>
  <c r="D26" i="8" s="1"/>
  <c r="J62" i="8" l="1"/>
  <c r="J63" i="8" s="1"/>
  <c r="J64" i="8" s="1"/>
  <c r="J65" i="8" s="1"/>
  <c r="J66" i="8" s="1"/>
  <c r="J67" i="8" s="1"/>
  <c r="J68" i="8" s="1"/>
  <c r="J69" i="8" s="1"/>
  <c r="J70" i="8" s="1"/>
  <c r="J71" i="8" s="1"/>
  <c r="L30" i="1"/>
  <c r="T30" i="1" s="1"/>
  <c r="L32" i="1"/>
  <c r="T32" i="1" s="1"/>
  <c r="L26" i="1"/>
  <c r="T26" i="1" s="1"/>
  <c r="L31" i="1"/>
  <c r="T31" i="1" s="1"/>
  <c r="L25" i="1"/>
  <c r="T25" i="1" s="1"/>
  <c r="L33" i="1"/>
  <c r="T33" i="1" s="1"/>
  <c r="AO29" i="1"/>
  <c r="AQ28" i="1"/>
  <c r="AS28" i="1" s="1"/>
  <c r="AD28" i="1" s="1"/>
  <c r="AS27" i="1"/>
  <c r="AD27" i="1" s="1"/>
  <c r="P67" i="8"/>
  <c r="P68" i="8" s="1"/>
  <c r="P69" i="8" s="1"/>
  <c r="P70" i="8" s="1"/>
  <c r="P71" i="8" s="1"/>
  <c r="D59" i="8"/>
  <c r="D60" i="8" s="1"/>
  <c r="D61" i="8" s="1"/>
  <c r="P21" i="8"/>
  <c r="G58" i="8"/>
  <c r="S25" i="8"/>
  <c r="D27" i="8"/>
  <c r="D28" i="8" s="1"/>
  <c r="D29" i="8" s="1"/>
  <c r="D30" i="8" s="1"/>
  <c r="D31" i="8" s="1"/>
  <c r="J30" i="8"/>
  <c r="J31" i="8" s="1"/>
  <c r="J32" i="8" s="1"/>
  <c r="J33" i="8" s="1"/>
  <c r="J34" i="8" s="1"/>
  <c r="J35" i="8" s="1"/>
  <c r="J36" i="8" s="1"/>
  <c r="M22" i="8"/>
  <c r="S63" i="8"/>
  <c r="M68" i="8"/>
  <c r="G29" i="8"/>
  <c r="D62" i="8" l="1"/>
  <c r="D63" i="8" s="1"/>
  <c r="D64" i="8" s="1"/>
  <c r="D32" i="8"/>
  <c r="D33" i="8" s="1"/>
  <c r="D34" i="8" s="1"/>
  <c r="D35" i="8" s="1"/>
  <c r="D36" i="8" s="1"/>
  <c r="AO30" i="1"/>
  <c r="AQ29" i="1"/>
  <c r="AS29" i="1" s="1"/>
  <c r="AD29" i="1" s="1"/>
  <c r="S26" i="8"/>
  <c r="S27" i="8" s="1"/>
  <c r="P22" i="8"/>
  <c r="M23" i="8"/>
  <c r="M24" i="8" s="1"/>
  <c r="M25" i="8" s="1"/>
  <c r="M26" i="8" s="1"/>
  <c r="G59" i="8"/>
  <c r="M69" i="8"/>
  <c r="M70" i="8" s="1"/>
  <c r="M71" i="8" s="1"/>
  <c r="M72" i="8" s="1"/>
  <c r="S64" i="8"/>
  <c r="S65" i="8" s="1"/>
  <c r="G30" i="8"/>
  <c r="G31" i="8" s="1"/>
  <c r="G32" i="8" s="1"/>
  <c r="G33" i="8" s="1"/>
  <c r="G34" i="8" s="1"/>
  <c r="S28" i="8" l="1"/>
  <c r="S29" i="8" s="1"/>
  <c r="S30" i="8" s="1"/>
  <c r="S31" i="8" s="1"/>
  <c r="S32" i="8" s="1"/>
  <c r="S33" i="8" s="1"/>
  <c r="S34" i="8" s="1"/>
  <c r="S35" i="8" s="1"/>
  <c r="AO31" i="1"/>
  <c r="AQ30" i="1"/>
  <c r="AS30" i="1" s="1"/>
  <c r="AD30" i="1" s="1"/>
  <c r="M27" i="8"/>
  <c r="M28" i="8" s="1"/>
  <c r="M29" i="8" s="1"/>
  <c r="M30" i="8" s="1"/>
  <c r="M31" i="8" s="1"/>
  <c r="M32" i="8" s="1"/>
  <c r="D65" i="8"/>
  <c r="D66" i="8" s="1"/>
  <c r="D67" i="8" s="1"/>
  <c r="D68" i="8" s="1"/>
  <c r="G60" i="8"/>
  <c r="P23" i="8"/>
  <c r="P24" i="8" s="1"/>
  <c r="S68" i="8"/>
  <c r="AO32" i="1" l="1"/>
  <c r="AQ31" i="1"/>
  <c r="AS31" i="1" s="1"/>
  <c r="AD31" i="1" s="1"/>
  <c r="P25" i="8"/>
  <c r="P26" i="8" s="1"/>
  <c r="D69" i="8"/>
  <c r="D70" i="8" s="1"/>
  <c r="G61" i="8"/>
  <c r="S69" i="8"/>
  <c r="M33" i="8"/>
  <c r="T19" i="1"/>
  <c r="T34" i="1" s="1"/>
  <c r="A36" i="1" l="1"/>
  <c r="B41" i="1"/>
  <c r="T41" i="1" s="1"/>
  <c r="AO33" i="1"/>
  <c r="AQ32" i="1"/>
  <c r="AS32" i="1" s="1"/>
  <c r="AD32" i="1" s="1"/>
  <c r="D71" i="8"/>
  <c r="D72" i="8" s="1"/>
  <c r="P27" i="8"/>
  <c r="G62" i="8"/>
  <c r="G63" i="8" s="1"/>
  <c r="M34" i="8"/>
  <c r="M35" i="8" s="1"/>
  <c r="S70" i="8"/>
  <c r="S71" i="8" s="1"/>
  <c r="AQ33" i="1" l="1"/>
  <c r="AS33" i="1" s="1"/>
  <c r="AD33" i="1" s="1"/>
  <c r="P28" i="8"/>
  <c r="G64" i="8"/>
  <c r="G65" i="8" s="1"/>
  <c r="G66" i="8" s="1"/>
  <c r="S72" i="8"/>
  <c r="G67" i="8" l="1"/>
  <c r="G68" i="8" s="1"/>
  <c r="G69" i="8" s="1"/>
  <c r="G70" i="8" s="1"/>
  <c r="G71" i="8" s="1"/>
  <c r="G72" i="8" s="1"/>
  <c r="T44" i="1"/>
  <c r="P29" i="8"/>
  <c r="P30" i="8" s="1"/>
  <c r="D2" i="1" l="1"/>
  <c r="P31" i="8"/>
  <c r="P32" i="8" s="1"/>
  <c r="P33" i="8" l="1"/>
  <c r="P34" i="8" s="1"/>
  <c r="P35" i="8" s="1"/>
  <c r="P36" i="8" s="1"/>
</calcChain>
</file>

<file path=xl/comments1.xml><?xml version="1.0" encoding="utf-8"?>
<comments xmlns="http://schemas.openxmlformats.org/spreadsheetml/2006/main">
  <authors>
    <author>Müller Marc FD-PA-CC-SAP</author>
  </authors>
  <commentList>
    <comment ref="J4" authorId="0" shapeId="0">
      <text>
        <r>
          <rPr>
            <sz val="9"/>
            <color indexed="81"/>
            <rFont val="Segoe UI"/>
            <family val="2"/>
          </rPr>
          <t>Beginn des Vertragsverhältnises beim Kanton.
Das Eintrittsdatum ist relevant, wenn die/der Mitarbeiter/in im aktuellen Jahr eintritt. 
Mit diesem Datum werden die Schonfrist und der Ferienanspruch gekürzt.</t>
        </r>
      </text>
    </comment>
    <comment ref="Q4" authorId="0" shapeId="0">
      <text>
        <r>
          <rPr>
            <sz val="9"/>
            <color indexed="81"/>
            <rFont val="Segoe UI"/>
            <family val="2"/>
          </rPr>
          <t>Ende des Vertragsverhältnises beim Kanton
Das Austrittsdatum ist relevant, wenn die/der Mitarbeiter/in im aktuellen Jahr austritt. 
Mit diesem Datum werden die Schonfrist und der Ferienanspruch gekürzt.</t>
        </r>
      </text>
    </comment>
    <comment ref="Z4" authorId="0" shapeId="0">
      <text>
        <r>
          <rPr>
            <sz val="9"/>
            <color indexed="81"/>
            <rFont val="Segoe UI"/>
            <family val="2"/>
          </rPr>
          <t>Ja: 28 Tage Ferien
Nein: Ferien werden gemäss Alter berücksichtigt</t>
        </r>
      </text>
    </comment>
    <comment ref="Q6" authorId="0" shapeId="0">
      <text>
        <r>
          <rPr>
            <sz val="9"/>
            <color indexed="81"/>
            <rFont val="Segoe UI"/>
            <family val="2"/>
          </rPr>
          <t>Personal-Nr. gemäss SAP HR (z.B. 112785)</t>
        </r>
      </text>
    </comment>
    <comment ref="Z6" authorId="0" shapeId="0">
      <text>
        <r>
          <rPr>
            <sz val="9"/>
            <color indexed="81"/>
            <rFont val="Segoe UI"/>
            <family val="2"/>
          </rPr>
          <t>Aktueller Beschäftigungsgrad
Dieser Wert wird verwendet, um die Ferienkürzung von Tagen in Stunden umzuwandeln.</t>
        </r>
      </text>
    </comment>
    <comment ref="Q8" authorId="0" shapeId="0">
      <text>
        <r>
          <rPr>
            <sz val="9"/>
            <color indexed="81"/>
            <rFont val="Segoe UI"/>
            <family val="2"/>
          </rPr>
          <t>Geburtsjahr der Mitarbeiterin bzw. des Mitarbeiters</t>
        </r>
      </text>
    </comment>
    <comment ref="J10" authorId="0" shapeId="0">
      <text>
        <r>
          <rPr>
            <sz val="9"/>
            <color indexed="81"/>
            <rFont val="Segoe UI"/>
            <family val="2"/>
          </rPr>
          <t>Ungekürzter Ferienanspruch bei ganzjähriger Anstellung</t>
        </r>
      </text>
    </comment>
    <comment ref="Z10" authorId="0" shapeId="0">
      <text>
        <r>
          <rPr>
            <sz val="9"/>
            <color indexed="81"/>
            <rFont val="Segoe UI"/>
            <family val="2"/>
          </rPr>
          <t>Anzahl bereits bezogener Lohnfortzahlungstage aus dem Vorjahr
Tage nur erfassen, wenn es sich um eine zusammenhängende Absenz über den Jahreswechsel hinweg handelt.</t>
        </r>
      </text>
    </comment>
    <comment ref="J12" authorId="0" shapeId="0">
      <text>
        <r>
          <rPr>
            <sz val="9"/>
            <color indexed="81"/>
            <rFont val="Segoe UI"/>
            <family val="2"/>
          </rPr>
          <t>Sollarbeitstage bei ganzjähriger Anstellung</t>
        </r>
      </text>
    </comment>
    <comment ref="Z12" authorId="0" shapeId="0">
      <text>
        <r>
          <rPr>
            <sz val="9"/>
            <color indexed="81"/>
            <rFont val="Segoe UI"/>
            <family val="2"/>
          </rPr>
          <t xml:space="preserve">Ja: Die Lohnfortzahlungstage aus dem Vorjahr werden bei der Berechnung der Ferienkürzung im aktuellen Jahr nicht berücksichtigt.
Nein: Die Lohnfortzahlungstage aus dem Vorjahr werden für die Ferienkürzung im aktuellen Jahr berücksichtigt. </t>
        </r>
      </text>
    </comment>
    <comment ref="A17" authorId="0" shapeId="0">
      <text>
        <r>
          <rPr>
            <sz val="9"/>
            <color indexed="81"/>
            <rFont val="Segoe UI"/>
            <family val="2"/>
          </rPr>
          <t>Erfassung des Zeitraums</t>
        </r>
      </text>
    </comment>
    <comment ref="I17" authorId="0" shapeId="0">
      <text>
        <r>
          <rPr>
            <b/>
            <sz val="9"/>
            <color indexed="81"/>
            <rFont val="Segoe UI"/>
            <family val="2"/>
          </rPr>
          <t>Müller Marc FD-PA-CC-SAP:</t>
        </r>
        <r>
          <rPr>
            <sz val="9"/>
            <color indexed="81"/>
            <rFont val="Segoe UI"/>
            <family val="2"/>
          </rPr>
          <t xml:space="preserve">
Wenn keine Stunden eingegeben werden werden die Arbeitstage  vom Zeitraum von/bis berücksichtigt.</t>
        </r>
      </text>
    </comment>
    <comment ref="P17" authorId="0" shapeId="0">
      <text>
        <r>
          <rPr>
            <sz val="9"/>
            <color indexed="81"/>
            <rFont val="Segoe UI"/>
            <family val="2"/>
          </rPr>
          <t xml:space="preserve"> - Bei der Eingabe von Absenzen in Stunden ist in dieser Spalte 100 zu erfassen. 
- Wird nur der Zeitraum erfasst, ist hier die Arbeitsunfähigkeit gem. Arztzeugnis zu erfassen</t>
        </r>
      </text>
    </comment>
    <comment ref="T17" authorId="0" shapeId="0">
      <text>
        <r>
          <rPr>
            <sz val="9"/>
            <color indexed="81"/>
            <rFont val="Segoe UI"/>
            <family val="2"/>
          </rPr>
          <t>Effektive Abwesenheitstage (gem. Zeitraum und Arbeitsausfall oder Stunden, BG und Arbeitsausfall)</t>
        </r>
      </text>
    </comment>
    <comment ref="I18" authorId="0" shapeId="0">
      <text>
        <r>
          <rPr>
            <sz val="9"/>
            <color indexed="81"/>
            <rFont val="Segoe UI"/>
            <family val="2"/>
          </rPr>
          <t>Total Absenzstunden im Zeitraum</t>
        </r>
      </text>
    </comment>
    <comment ref="J18" authorId="0" shapeId="0">
      <text>
        <r>
          <rPr>
            <b/>
            <sz val="9"/>
            <color indexed="81"/>
            <rFont val="Segoe UI"/>
            <family val="2"/>
          </rPr>
          <t>B</t>
        </r>
        <r>
          <rPr>
            <sz val="9"/>
            <color indexed="81"/>
            <rFont val="Segoe UI"/>
            <family val="2"/>
          </rPr>
          <t>eschäftigun</t>
        </r>
        <r>
          <rPr>
            <b/>
            <sz val="9"/>
            <color indexed="81"/>
            <rFont val="Segoe UI"/>
            <family val="2"/>
          </rPr>
          <t>g</t>
        </r>
        <r>
          <rPr>
            <sz val="9"/>
            <color indexed="81"/>
            <rFont val="Segoe UI"/>
            <family val="2"/>
          </rPr>
          <t>sgrad im Zeitraum</t>
        </r>
      </text>
    </comment>
    <comment ref="K18" authorId="0" shapeId="0">
      <text>
        <r>
          <rPr>
            <sz val="9"/>
            <color indexed="81"/>
            <rFont val="Segoe UI"/>
            <family val="2"/>
          </rPr>
          <t xml:space="preserve">Anzahl </t>
        </r>
        <r>
          <rPr>
            <b/>
            <sz val="9"/>
            <color indexed="81"/>
            <rFont val="Segoe UI"/>
            <family val="2"/>
          </rPr>
          <t>W</t>
        </r>
        <r>
          <rPr>
            <sz val="9"/>
            <color indexed="81"/>
            <rFont val="Segoe UI"/>
            <family val="2"/>
          </rPr>
          <t>ochen</t>
        </r>
        <r>
          <rPr>
            <b/>
            <sz val="9"/>
            <color indexed="81"/>
            <rFont val="Segoe UI"/>
            <family val="2"/>
          </rPr>
          <t>s</t>
        </r>
        <r>
          <rPr>
            <sz val="9"/>
            <color indexed="81"/>
            <rFont val="Segoe UI"/>
            <family val="2"/>
          </rPr>
          <t xml:space="preserve">tunden bei 100% BG
(z.B.):
Bandbreitenmodell 1: </t>
        </r>
        <r>
          <rPr>
            <b/>
            <sz val="9"/>
            <color indexed="81"/>
            <rFont val="Segoe UI"/>
            <family val="2"/>
          </rPr>
          <t>40</t>
        </r>
        <r>
          <rPr>
            <sz val="9"/>
            <color indexed="81"/>
            <rFont val="Segoe UI"/>
            <family val="2"/>
          </rPr>
          <t xml:space="preserve"> Stunden
Bandbreitenmodell 2: </t>
        </r>
        <r>
          <rPr>
            <b/>
            <sz val="9"/>
            <color indexed="81"/>
            <rFont val="Segoe UI"/>
            <family val="2"/>
          </rPr>
          <t>41</t>
        </r>
        <r>
          <rPr>
            <sz val="9"/>
            <color indexed="81"/>
            <rFont val="Segoe UI"/>
            <family val="2"/>
          </rPr>
          <t xml:space="preserve"> Stunden
Bandbreitenmodell 3: </t>
        </r>
        <r>
          <rPr>
            <b/>
            <sz val="9"/>
            <color indexed="81"/>
            <rFont val="Segoe UI"/>
            <family val="2"/>
          </rPr>
          <t>41</t>
        </r>
        <r>
          <rPr>
            <sz val="9"/>
            <color indexed="81"/>
            <rFont val="Segoe UI"/>
            <family val="2"/>
          </rPr>
          <t xml:space="preserve"> Stunden
</t>
        </r>
        <r>
          <rPr>
            <sz val="9"/>
            <color indexed="81"/>
            <rFont val="Segoe UI"/>
            <family val="2"/>
          </rPr>
          <t xml:space="preserve">Bandbreitenmodell 4: </t>
        </r>
        <r>
          <rPr>
            <b/>
            <sz val="9"/>
            <color indexed="81"/>
            <rFont val="Segoe UI"/>
            <family val="2"/>
          </rPr>
          <t>42</t>
        </r>
        <r>
          <rPr>
            <sz val="9"/>
            <color indexed="81"/>
            <rFont val="Segoe UI"/>
            <family val="2"/>
          </rPr>
          <t xml:space="preserve"> Stunden</t>
        </r>
        <r>
          <rPr>
            <sz val="9"/>
            <color indexed="81"/>
            <rFont val="Segoe UI"/>
            <family val="2"/>
          </rPr>
          <t xml:space="preserve">
Bandbreitenmodell 5: </t>
        </r>
        <r>
          <rPr>
            <b/>
            <sz val="9"/>
            <color indexed="81"/>
            <rFont val="Segoe UI"/>
            <family val="2"/>
          </rPr>
          <t>42</t>
        </r>
        <r>
          <rPr>
            <sz val="9"/>
            <color indexed="81"/>
            <rFont val="Segoe UI"/>
            <family val="2"/>
          </rPr>
          <t xml:space="preserve"> Stunden
Bandbreitenmodell 6: </t>
        </r>
        <r>
          <rPr>
            <b/>
            <sz val="9"/>
            <color indexed="81"/>
            <rFont val="Segoe UI"/>
            <family val="2"/>
          </rPr>
          <t>42</t>
        </r>
        <r>
          <rPr>
            <sz val="9"/>
            <color indexed="81"/>
            <rFont val="Segoe UI"/>
            <family val="2"/>
          </rPr>
          <t xml:space="preserve"> Stunden
Bandbreitenmodell 7: </t>
        </r>
        <r>
          <rPr>
            <b/>
            <sz val="9"/>
            <color indexed="81"/>
            <rFont val="Segoe UI"/>
            <family val="2"/>
          </rPr>
          <t>43</t>
        </r>
        <r>
          <rPr>
            <sz val="9"/>
            <color indexed="81"/>
            <rFont val="Segoe UI"/>
            <family val="2"/>
          </rPr>
          <t xml:space="preserve"> Stunden
Bandbreitenmodell 8: </t>
        </r>
        <r>
          <rPr>
            <b/>
            <sz val="9"/>
            <color indexed="81"/>
            <rFont val="Segoe UI"/>
            <family val="2"/>
          </rPr>
          <t>43</t>
        </r>
        <r>
          <rPr>
            <sz val="9"/>
            <color indexed="81"/>
            <rFont val="Segoe UI"/>
            <family val="2"/>
          </rPr>
          <t xml:space="preserve"> Stunden
Bandbreitenmodell 9: </t>
        </r>
        <r>
          <rPr>
            <b/>
            <sz val="9"/>
            <color indexed="81"/>
            <rFont val="Segoe UI"/>
            <family val="2"/>
          </rPr>
          <t>44</t>
        </r>
        <r>
          <rPr>
            <sz val="9"/>
            <color indexed="81"/>
            <rFont val="Segoe UI"/>
            <family val="2"/>
          </rPr>
          <t xml:space="preserve"> Stunden</t>
        </r>
      </text>
    </comment>
    <comment ref="T38" authorId="0" shapeId="0">
      <text>
        <r>
          <rPr>
            <sz val="9"/>
            <color indexed="81"/>
            <rFont val="Segoe UI"/>
            <family val="2"/>
          </rPr>
          <t>Die Schonfrist wird anteilsmässig gekürzt, wenn im aktuellen Kalenderjahr ein unterjähriger Ein- oder Austritt erfasst ist.
Bei jahresübegreifenden Ereignissen wird im Folgejahr für die Berechnung keine Schonfrist zur  berücksichtigt. Bei der Anzeige handelt es sich um die insegsamt für das Ereignis berücksichtigt Schonfrist.</t>
        </r>
      </text>
    </comment>
    <comment ref="F41" authorId="0" shapeId="0">
      <text>
        <r>
          <rPr>
            <sz val="9"/>
            <color indexed="81"/>
            <rFont val="Segoe UI"/>
            <family val="2"/>
          </rPr>
          <t>Bei unterjährigem Ein-/Austritt werden die Ferien anteilsmässig berücksichtigt.</t>
        </r>
      </text>
    </comment>
    <comment ref="A42" authorId="0" shapeId="0">
      <text>
        <r>
          <rPr>
            <sz val="9"/>
            <color indexed="81"/>
            <rFont val="Segoe UI"/>
            <family val="2"/>
          </rPr>
          <t>Bei unterjährigem Ein-/Austritt werden die Sollarbeitstage anteilsmässig berücksichtigt.</t>
        </r>
      </text>
    </comment>
    <comment ref="T44" authorId="0" shapeId="0">
      <text>
        <r>
          <rPr>
            <sz val="9"/>
            <color indexed="81"/>
            <rFont val="Segoe UI"/>
            <family val="2"/>
          </rPr>
          <t>Zu erfassende Kürzung in Stunden in der Zeitwirtschaft</t>
        </r>
      </text>
    </comment>
  </commentList>
</comments>
</file>

<file path=xl/comments2.xml><?xml version="1.0" encoding="utf-8"?>
<comments xmlns="http://schemas.openxmlformats.org/spreadsheetml/2006/main">
  <authors>
    <author>Müller Marc FD-PA-CC-SAP</author>
  </authors>
  <commentList>
    <comment ref="W7" authorId="0" shapeId="0">
      <text>
        <r>
          <rPr>
            <b/>
            <sz val="9"/>
            <color indexed="81"/>
            <rFont val="Segoe UI"/>
            <family val="2"/>
          </rPr>
          <t>Müller Marc FD-PA-CC-SAP:</t>
        </r>
        <r>
          <rPr>
            <sz val="9"/>
            <color indexed="81"/>
            <rFont val="Segoe UI"/>
            <family val="2"/>
          </rPr>
          <t xml:space="preserve">
Sollzeit an diesem Tag</t>
        </r>
      </text>
    </comment>
  </commentList>
</comments>
</file>

<file path=xl/sharedStrings.xml><?xml version="1.0" encoding="utf-8"?>
<sst xmlns="http://schemas.openxmlformats.org/spreadsheetml/2006/main" count="118" uniqueCount="90">
  <si>
    <t>Name</t>
  </si>
  <si>
    <t>Vorname</t>
  </si>
  <si>
    <t>Pers.-Nr.</t>
  </si>
  <si>
    <t>Alter</t>
  </si>
  <si>
    <t>Jahrgang</t>
  </si>
  <si>
    <t>Jahr</t>
  </si>
  <si>
    <t>Sollarbeitstage</t>
  </si>
  <si>
    <t>von</t>
  </si>
  <si>
    <t>bis</t>
  </si>
  <si>
    <t>Anzahl 
Arbeitstage</t>
  </si>
  <si>
    <t>Bemerkungen</t>
  </si>
  <si>
    <t>Total</t>
  </si>
  <si>
    <t>Tage</t>
  </si>
  <si>
    <t>=</t>
  </si>
  <si>
    <t>x</t>
  </si>
  <si>
    <t>Abwesen-heitstage</t>
  </si>
  <si>
    <t>Neujahr</t>
  </si>
  <si>
    <t>Karfreitag</t>
  </si>
  <si>
    <t>Ostermontag</t>
  </si>
  <si>
    <t>Auffahrt</t>
  </si>
  <si>
    <t>Allerheiligen</t>
  </si>
  <si>
    <t>Stephanstag</t>
  </si>
  <si>
    <t>Gesamt</t>
  </si>
  <si>
    <t>Tot. Tr3</t>
  </si>
  <si>
    <t>Tot. Tr2</t>
  </si>
  <si>
    <t>Monat</t>
  </si>
  <si>
    <t>Nat. Feiertag</t>
  </si>
  <si>
    <t>Tag</t>
  </si>
  <si>
    <t>Tot. Tr1</t>
  </si>
  <si>
    <t>Pfingstmontag</t>
  </si>
  <si>
    <t>Sollarbeitszeit</t>
  </si>
  <si>
    <t>Datum</t>
  </si>
  <si>
    <t>Zeile</t>
  </si>
  <si>
    <t>Zeile "von"</t>
  </si>
  <si>
    <t>Zeile "bis"</t>
  </si>
  <si>
    <t>Diff Zeilen</t>
  </si>
  <si>
    <t>Total Stunden</t>
  </si>
  <si>
    <t>Alter von</t>
  </si>
  <si>
    <t>Alter bis</t>
  </si>
  <si>
    <t>Ferientage</t>
  </si>
  <si>
    <t>Rang Ist</t>
  </si>
  <si>
    <t>Rang Soll</t>
  </si>
  <si>
    <t>Diff2</t>
  </si>
  <si>
    <t>Diff1</t>
  </si>
  <si>
    <t>Hinweise
Bei Teilzeitarbeit ist die Arbeitsunfähigkeit im Verhältnis zur Arbeitszeit zu erfassen.
Beispiel: Vollständige Arbeitsunfähigkeit bei einem 50% Pensum = 100% Arbeitsunfähigkeit.</t>
  </si>
  <si>
    <t>Stundenwoche</t>
  </si>
  <si>
    <t>Berchtoldstag</t>
  </si>
  <si>
    <t>Weihnachtst.</t>
  </si>
  <si>
    <t>Stunden</t>
  </si>
  <si>
    <t>DATUM</t>
  </si>
  <si>
    <t>STD</t>
  </si>
  <si>
    <t>TAG_NAM</t>
  </si>
  <si>
    <t>WT</t>
  </si>
  <si>
    <t>Hl. Abend</t>
  </si>
  <si>
    <t>Silvester</t>
  </si>
  <si>
    <t>Jahr wird aus Sheet "Berechnung" übernommen</t>
  </si>
  <si>
    <t>Soll-AZ wird aus Sheet "Berechnung" übernommen</t>
  </si>
  <si>
    <t>h</t>
  </si>
  <si>
    <t>BG</t>
  </si>
  <si>
    <t>akt.Pensum %</t>
  </si>
  <si>
    <t>Eintritt</t>
  </si>
  <si>
    <t>Austritt</t>
  </si>
  <si>
    <t>Absenz</t>
  </si>
  <si>
    <t>Arbeitsausfall in %</t>
  </si>
  <si>
    <t>Tag d. Arbeit</t>
  </si>
  <si>
    <t>Art. 60 Abs. 1 PersV</t>
  </si>
  <si>
    <t>Abwesenheitstage x Total Ferienanspruch</t>
  </si>
  <si>
    <t>Ferienkürzung gemäss Pensum:</t>
  </si>
  <si>
    <t>Lernende/r</t>
  </si>
  <si>
    <t>Anzahl Kalendertage</t>
  </si>
  <si>
    <t>Ferienkürzung in Tagen</t>
  </si>
  <si>
    <t>Ferienkürzung in Stunden</t>
  </si>
  <si>
    <t>Lohnfortzahlungstage aus Vorjahr</t>
  </si>
  <si>
    <t>Sollarbeitszeitkalender Kanton St.Gallen</t>
  </si>
  <si>
    <t>Nein</t>
  </si>
  <si>
    <t>Ferienkürzung im Vorjahr vorgenommen?</t>
  </si>
  <si>
    <t>Der Kalender in den Spalten A-T ist ausgeblendet</t>
  </si>
  <si>
    <t>Sollarbeitstage im Kalenderjahr</t>
  </si>
  <si>
    <t>Ferienanspruch im Kalenderjahr</t>
  </si>
  <si>
    <t>- Die Höhe des Ferienanspruchs vor allfälliger Kürzung erfolgt auf Grundlage des Art. 61 ff. PersV (sGS 143.11)
- Bei der Ferienkürzung werden die Abwesenheiten wegen Krankheit, Unfall, Dienstleistungen in Armee, Zivilschutz und Feuerwehr, Leistung von zivilem Ersatzdienst sowie die bezahlten Urlaubstage nach Art. 66 und 67a PersV zusammengezählt.
- Bei Teilzeitarbeit ist die Arbeitsunfähigkeit im Verhältnis zur Arbeitszeit zu erfassen.
  Beispiel: Vollständige Arbeitsunfähigkeit bei einem 50% Pensum = 100% Arbeitsunfähigkeit.</t>
  </si>
  <si>
    <t>insgesamt berücksichtigte Schonfrist aufgrund Ein-/Austritt</t>
  </si>
  <si>
    <t>Ja</t>
  </si>
  <si>
    <t>WS</t>
  </si>
  <si>
    <t>Berechnung erstellt von/am:</t>
  </si>
  <si>
    <t>Ferienkürzung bei Abwesenheiten (Arbeitszeit gem. Art. 28ff. PersV)</t>
  </si>
  <si>
    <t>Liste Feiertag</t>
  </si>
  <si>
    <t>ja</t>
  </si>
  <si>
    <t>nein</t>
  </si>
  <si>
    <t>halber Feiertag</t>
  </si>
  <si>
    <t>Feiertag (od. Samstag/Sonntag)?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</si>
</sst>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ddd"/>
    <numFmt numFmtId="166" formatCode="mmmm"/>
    <numFmt numFmtId="167" formatCode="yyyy"/>
    <numFmt numFmtId="168" formatCode="0.000"/>
    <numFmt numFmtId="169" formatCode="dd/mm/yy"/>
    <numFmt numFmtId="170" formatCode="0.000000"/>
  </numFmts>
  <fonts count="17" x14ac:knownFonts="1">
    <font>
      <sz val="11"/>
      <color theme="1"/>
      <name val="Arial"/>
      <family val="2"/>
    </font>
    <font>
      <sz val="11"/>
      <color theme="1"/>
      <name val="Arial"/>
      <family val="2"/>
    </font>
    <font>
      <sz val="10"/>
      <name val="MS Sans Serif"/>
      <family val="2"/>
    </font>
    <font>
      <sz val="10"/>
      <name val="Arial"/>
      <family val="2"/>
    </font>
    <font>
      <sz val="9"/>
      <color indexed="81"/>
      <name val="Segoe UI"/>
      <family val="2"/>
    </font>
    <font>
      <b/>
      <sz val="9"/>
      <color indexed="81"/>
      <name val="Segoe UI"/>
      <family val="2"/>
    </font>
    <font>
      <b/>
      <sz val="10.5"/>
      <color theme="1"/>
      <name val="Arial"/>
      <family val="2"/>
    </font>
    <font>
      <sz val="10.5"/>
      <color theme="1"/>
      <name val="Arial"/>
      <family val="2"/>
    </font>
    <font>
      <b/>
      <sz val="14"/>
      <name val="Arial"/>
      <family val="2"/>
    </font>
    <font>
      <b/>
      <sz val="10.5"/>
      <name val="Arial"/>
      <family val="2"/>
    </font>
    <font>
      <b/>
      <sz val="10.5"/>
      <color rgb="FFFF0000"/>
      <name val="Arial"/>
      <family val="2"/>
    </font>
    <font>
      <sz val="10.5"/>
      <name val="Arial"/>
      <family val="2"/>
    </font>
    <font>
      <sz val="10.5"/>
      <color theme="0"/>
      <name val="Arial"/>
      <family val="2"/>
    </font>
    <font>
      <b/>
      <sz val="10.5"/>
      <color theme="0"/>
      <name val="Arial"/>
      <family val="2"/>
    </font>
    <font>
      <b/>
      <sz val="10.5"/>
      <color indexed="10"/>
      <name val="Arial"/>
      <family val="2"/>
    </font>
    <font>
      <b/>
      <i/>
      <sz val="10.5"/>
      <name val="Arial"/>
      <family val="2"/>
    </font>
    <font>
      <sz val="1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theme="0" tint="-0.249977111117893"/>
        <bgColor indexed="64"/>
      </patternFill>
    </fill>
    <fill>
      <patternFill patternType="solid">
        <fgColor rgb="FF00964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3" fillId="0" borderId="0"/>
  </cellStyleXfs>
  <cellXfs count="252">
    <xf numFmtId="0" fontId="0" fillId="0" borderId="0" xfId="0"/>
    <xf numFmtId="0" fontId="8" fillId="0" borderId="0" xfId="0" applyFont="1" applyAlignment="1" applyProtection="1">
      <alignment horizontal="left"/>
    </xf>
    <xf numFmtId="0" fontId="7" fillId="0" borderId="0" xfId="0" applyFont="1" applyProtection="1"/>
    <xf numFmtId="0" fontId="7" fillId="0" borderId="0" xfId="0" applyFont="1" applyFill="1" applyProtection="1"/>
    <xf numFmtId="0" fontId="7" fillId="0" borderId="0" xfId="0" applyFont="1"/>
    <xf numFmtId="0" fontId="7" fillId="0" borderId="0" xfId="0" applyFont="1" applyAlignment="1">
      <alignment horizontal="right"/>
    </xf>
    <xf numFmtId="0" fontId="7" fillId="0" borderId="0" xfId="0" applyFont="1" applyAlignment="1">
      <alignment horizontal="center"/>
    </xf>
    <xf numFmtId="0" fontId="6" fillId="0" borderId="0" xfId="0" applyFont="1" applyProtection="1"/>
    <xf numFmtId="0" fontId="11"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6" fillId="0" borderId="0" xfId="0" applyFont="1" applyAlignment="1" applyProtection="1">
      <alignment vertical="center"/>
    </xf>
    <xf numFmtId="0" fontId="7" fillId="0" borderId="0" xfId="0" applyFont="1" applyFill="1" applyBorder="1" applyAlignment="1" applyProtection="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1" fontId="7" fillId="0" borderId="1"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0" fontId="7" fillId="0" borderId="0" xfId="0" applyFont="1" applyBorder="1" applyAlignment="1" applyProtection="1">
      <alignment vertical="center"/>
    </xf>
    <xf numFmtId="0" fontId="7" fillId="0" borderId="0" xfId="0" applyFont="1" applyBorder="1" applyProtection="1"/>
    <xf numFmtId="0" fontId="6" fillId="0" borderId="0" xfId="0" applyFont="1" applyBorder="1" applyAlignment="1" applyProtection="1">
      <alignment horizontal="center" vertical="center"/>
    </xf>
    <xf numFmtId="164"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Fill="1" applyBorder="1" applyAlignment="1" applyProtection="1">
      <alignment horizontal="center" vertical="center"/>
    </xf>
    <xf numFmtId="0" fontId="11" fillId="0" borderId="0" xfId="0" applyFont="1" applyFill="1" applyAlignment="1" applyProtection="1">
      <alignment horizontal="left" vertical="center" wrapText="1"/>
    </xf>
    <xf numFmtId="0" fontId="6" fillId="0" borderId="0" xfId="0" applyFont="1" applyFill="1" applyBorder="1" applyAlignment="1" applyProtection="1">
      <alignment horizontal="center" vertical="center"/>
    </xf>
    <xf numFmtId="14" fontId="7" fillId="0" borderId="0" xfId="0" applyNumberFormat="1" applyFont="1" applyAlignment="1">
      <alignment vertical="center"/>
    </xf>
    <xf numFmtId="0" fontId="7" fillId="0" borderId="0"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horizontal="right" vertical="center"/>
    </xf>
    <xf numFmtId="0" fontId="10" fillId="0" borderId="0" xfId="0" applyFont="1" applyAlignment="1" applyProtection="1">
      <alignment horizontal="center" vertical="center"/>
    </xf>
    <xf numFmtId="14" fontId="7" fillId="0" borderId="0" xfId="0" applyNumberFormat="1" applyFont="1" applyAlignment="1"/>
    <xf numFmtId="164" fontId="7" fillId="0" borderId="0" xfId="0" applyNumberFormat="1" applyFont="1" applyAlignment="1">
      <alignment horizontal="right"/>
    </xf>
    <xf numFmtId="0" fontId="7" fillId="0" borderId="0" xfId="0" applyFont="1" applyAlignment="1"/>
    <xf numFmtId="0" fontId="10" fillId="0" borderId="0" xfId="0" applyFont="1" applyAlignment="1" applyProtection="1">
      <alignment vertical="center"/>
    </xf>
    <xf numFmtId="2" fontId="7" fillId="0" borderId="0" xfId="0" applyNumberFormat="1" applyFont="1" applyBorder="1" applyAlignment="1">
      <alignment horizontal="center" vertical="center"/>
    </xf>
    <xf numFmtId="0" fontId="7" fillId="0" borderId="0" xfId="0" applyFont="1" applyBorder="1"/>
    <xf numFmtId="0" fontId="7" fillId="0" borderId="0" xfId="0" applyNumberFormat="1" applyFont="1" applyAlignment="1">
      <alignment horizontal="right"/>
    </xf>
    <xf numFmtId="14" fontId="7" fillId="0" borderId="0" xfId="0" applyNumberFormat="1" applyFont="1" applyAlignment="1">
      <alignment horizontal="right"/>
    </xf>
    <xf numFmtId="0" fontId="7" fillId="0" borderId="6" xfId="0" applyFont="1" applyBorder="1" applyAlignment="1" applyProtection="1">
      <alignment vertical="center"/>
    </xf>
    <xf numFmtId="2" fontId="7" fillId="0" borderId="0" xfId="0" applyNumberFormat="1" applyFont="1" applyAlignment="1" applyProtection="1">
      <alignment vertical="center"/>
    </xf>
    <xf numFmtId="0" fontId="7" fillId="0" borderId="0" xfId="0" applyFont="1" applyAlignment="1" applyProtection="1"/>
    <xf numFmtId="0" fontId="6" fillId="0" borderId="0" xfId="0" applyFont="1" applyAlignment="1" applyProtection="1"/>
    <xf numFmtId="0" fontId="6" fillId="0" borderId="0" xfId="0" applyFont="1" applyBorder="1" applyAlignment="1" applyProtection="1"/>
    <xf numFmtId="0" fontId="12" fillId="7" borderId="1"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center" vertical="center"/>
      <protection locked="0"/>
    </xf>
    <xf numFmtId="14" fontId="6" fillId="0" borderId="0" xfId="0" applyNumberFormat="1" applyFont="1" applyAlignment="1">
      <alignment horizontal="right"/>
    </xf>
    <xf numFmtId="0" fontId="6" fillId="0" borderId="0" xfId="0" applyNumberFormat="1" applyFont="1" applyAlignment="1">
      <alignment horizontal="center"/>
    </xf>
    <xf numFmtId="168" fontId="6" fillId="0" borderId="0" xfId="0" applyNumberFormat="1" applyFont="1" applyAlignment="1">
      <alignment horizontal="right"/>
    </xf>
    <xf numFmtId="1" fontId="6" fillId="0" borderId="0" xfId="0" applyNumberFormat="1" applyFont="1"/>
    <xf numFmtId="0" fontId="7" fillId="0" borderId="0" xfId="0" applyNumberFormat="1" applyFont="1" applyAlignment="1">
      <alignment horizontal="center"/>
    </xf>
    <xf numFmtId="168" fontId="7" fillId="0" borderId="0" xfId="0" applyNumberFormat="1" applyFont="1" applyAlignment="1">
      <alignment horizontal="right"/>
    </xf>
    <xf numFmtId="1" fontId="7" fillId="0" borderId="0" xfId="0" applyNumberFormat="1" applyFont="1"/>
    <xf numFmtId="14" fontId="7" fillId="0" borderId="0" xfId="0" applyNumberFormat="1" applyFont="1"/>
    <xf numFmtId="0" fontId="7" fillId="0" borderId="0" xfId="0" applyNumberFormat="1" applyFont="1"/>
    <xf numFmtId="168" fontId="7" fillId="0" borderId="0" xfId="0" applyNumberFormat="1" applyFont="1"/>
    <xf numFmtId="0" fontId="6" fillId="0" borderId="1" xfId="0" applyFont="1" applyBorder="1" applyAlignment="1">
      <alignment horizontal="center"/>
    </xf>
    <xf numFmtId="0" fontId="7" fillId="0" borderId="1" xfId="0" applyFont="1" applyBorder="1" applyAlignment="1">
      <alignment horizontal="center"/>
    </xf>
    <xf numFmtId="0" fontId="11" fillId="0" borderId="0" xfId="2" applyFont="1" applyAlignment="1">
      <alignment vertical="center"/>
    </xf>
    <xf numFmtId="0" fontId="11" fillId="0" borderId="0" xfId="2" applyFont="1" applyFill="1" applyBorder="1" applyAlignment="1">
      <alignment vertical="center"/>
    </xf>
    <xf numFmtId="0" fontId="9" fillId="3" borderId="0" xfId="2" applyFont="1" applyFill="1" applyAlignment="1">
      <alignment vertical="center"/>
    </xf>
    <xf numFmtId="0" fontId="11" fillId="3" borderId="0" xfId="2" applyFont="1" applyFill="1" applyAlignment="1">
      <alignment vertical="center"/>
    </xf>
    <xf numFmtId="0" fontId="9" fillId="3" borderId="0" xfId="2" applyFont="1" applyFill="1" applyAlignment="1">
      <alignment horizontal="center" vertical="center"/>
    </xf>
    <xf numFmtId="167" fontId="11" fillId="3" borderId="0" xfId="2" applyNumberFormat="1" applyFont="1" applyFill="1" applyAlignment="1">
      <alignment vertical="center"/>
    </xf>
    <xf numFmtId="0" fontId="9" fillId="3" borderId="0" xfId="2" applyFont="1" applyFill="1" applyAlignment="1">
      <alignment horizontal="right" vertical="center"/>
    </xf>
    <xf numFmtId="0" fontId="11" fillId="3" borderId="1" xfId="2" applyFont="1" applyFill="1" applyBorder="1" applyAlignment="1">
      <alignment horizontal="center" vertical="center"/>
    </xf>
    <xf numFmtId="166" fontId="9" fillId="3" borderId="9" xfId="2" applyNumberFormat="1" applyFont="1" applyFill="1" applyBorder="1" applyAlignment="1">
      <alignment horizontal="centerContinuous" vertical="center"/>
    </xf>
    <xf numFmtId="0" fontId="11" fillId="3" borderId="9" xfId="2" applyFont="1" applyFill="1" applyBorder="1" applyAlignment="1">
      <alignment horizontal="centerContinuous" vertical="center"/>
    </xf>
    <xf numFmtId="0" fontId="11" fillId="3" borderId="10" xfId="2" applyFont="1" applyFill="1" applyBorder="1" applyAlignment="1">
      <alignment horizontal="centerContinuous" vertical="center"/>
    </xf>
    <xf numFmtId="0" fontId="11" fillId="3" borderId="10" xfId="2" applyFont="1" applyFill="1" applyBorder="1" applyAlignment="1">
      <alignment horizontal="center" vertical="center"/>
    </xf>
    <xf numFmtId="164" fontId="11" fillId="0" borderId="0" xfId="2" applyNumberFormat="1" applyFont="1" applyBorder="1" applyAlignment="1">
      <alignment vertical="center"/>
    </xf>
    <xf numFmtId="0" fontId="11" fillId="0" borderId="0" xfId="2" applyFont="1" applyBorder="1" applyAlignment="1">
      <alignment vertical="center"/>
    </xf>
    <xf numFmtId="0" fontId="14" fillId="0" borderId="0" xfId="2" applyFont="1" applyFill="1" applyBorder="1" applyAlignment="1">
      <alignment vertical="center" wrapText="1"/>
    </xf>
    <xf numFmtId="0" fontId="11" fillId="0" borderId="12" xfId="2" applyFont="1" applyBorder="1" applyAlignment="1">
      <alignment horizontal="center" vertical="center"/>
    </xf>
    <xf numFmtId="0" fontId="11" fillId="0" borderId="11" xfId="2" applyFont="1" applyBorder="1" applyAlignment="1">
      <alignment vertical="center"/>
    </xf>
    <xf numFmtId="0" fontId="11" fillId="0" borderId="11" xfId="2" applyFont="1" applyBorder="1" applyAlignment="1">
      <alignment horizontal="center" vertical="center"/>
    </xf>
    <xf numFmtId="165" fontId="11" fillId="0" borderId="0" xfId="2" applyNumberFormat="1" applyFont="1" applyFill="1" applyBorder="1" applyAlignment="1">
      <alignment horizontal="left" vertical="center"/>
    </xf>
    <xf numFmtId="2" fontId="11" fillId="0" borderId="0" xfId="2" applyNumberFormat="1" applyFont="1" applyBorder="1" applyAlignment="1">
      <alignment vertical="center"/>
    </xf>
    <xf numFmtId="2" fontId="11" fillId="0" borderId="11" xfId="2" applyNumberFormat="1" applyFont="1" applyBorder="1" applyAlignment="1">
      <alignment vertical="center"/>
    </xf>
    <xf numFmtId="165" fontId="11" fillId="0" borderId="0" xfId="2" applyNumberFormat="1" applyFont="1" applyBorder="1" applyAlignment="1">
      <alignment horizontal="left" vertical="center"/>
    </xf>
    <xf numFmtId="0" fontId="11" fillId="3" borderId="12" xfId="2" applyFont="1" applyFill="1" applyBorder="1" applyAlignment="1">
      <alignment horizontal="center" vertical="center"/>
    </xf>
    <xf numFmtId="165" fontId="11" fillId="3" borderId="0" xfId="2" applyNumberFormat="1" applyFont="1" applyFill="1" applyBorder="1" applyAlignment="1">
      <alignment horizontal="left" vertical="center"/>
    </xf>
    <xf numFmtId="2" fontId="11" fillId="3" borderId="0" xfId="2" applyNumberFormat="1" applyFont="1" applyFill="1" applyBorder="1" applyAlignment="1">
      <alignment vertical="center"/>
    </xf>
    <xf numFmtId="2" fontId="11" fillId="3" borderId="11" xfId="2" applyNumberFormat="1" applyFont="1" applyFill="1" applyBorder="1" applyAlignment="1">
      <alignment vertical="center"/>
    </xf>
    <xf numFmtId="0" fontId="11" fillId="3" borderId="11" xfId="2" applyFont="1" applyFill="1" applyBorder="1" applyAlignment="1">
      <alignment horizontal="center" vertical="center"/>
    </xf>
    <xf numFmtId="0" fontId="15" fillId="0" borderId="1" xfId="2" applyFont="1" applyBorder="1" applyAlignment="1">
      <alignment horizontal="center" vertical="center"/>
    </xf>
    <xf numFmtId="2" fontId="15" fillId="0" borderId="1" xfId="2" applyNumberFormat="1" applyFont="1" applyBorder="1" applyAlignment="1">
      <alignment horizontal="center" vertical="center"/>
    </xf>
    <xf numFmtId="1" fontId="15" fillId="0" borderId="1" xfId="2" applyNumberFormat="1" applyFont="1" applyBorder="1" applyAlignment="1">
      <alignment vertical="center"/>
    </xf>
    <xf numFmtId="14" fontId="11" fillId="0" borderId="1" xfId="2" applyNumberFormat="1" applyFont="1" applyBorder="1" applyAlignment="1">
      <alignment vertical="center"/>
    </xf>
    <xf numFmtId="2" fontId="11" fillId="0" borderId="1" xfId="2" applyNumberFormat="1" applyFont="1" applyBorder="1" applyAlignment="1">
      <alignment vertical="center"/>
    </xf>
    <xf numFmtId="1" fontId="11" fillId="5" borderId="1" xfId="2" applyNumberFormat="1" applyFont="1" applyFill="1" applyBorder="1" applyAlignment="1">
      <alignment vertical="center"/>
    </xf>
    <xf numFmtId="165" fontId="11" fillId="0" borderId="1" xfId="2" applyNumberFormat="1" applyFont="1" applyBorder="1" applyAlignment="1">
      <alignment horizontal="center" vertical="center"/>
    </xf>
    <xf numFmtId="2" fontId="11" fillId="0" borderId="0" xfId="2" applyNumberFormat="1" applyFont="1" applyAlignment="1">
      <alignment vertical="center"/>
    </xf>
    <xf numFmtId="1" fontId="11" fillId="0" borderId="0" xfId="2" applyNumberFormat="1" applyFont="1" applyAlignment="1">
      <alignment vertical="center"/>
    </xf>
    <xf numFmtId="0" fontId="11" fillId="0" borderId="0" xfId="2" applyFont="1" applyAlignment="1">
      <alignment horizontal="right" vertical="center"/>
    </xf>
    <xf numFmtId="14" fontId="11" fillId="0" borderId="1" xfId="2" applyNumberFormat="1" applyFont="1" applyFill="1" applyBorder="1" applyAlignment="1">
      <alignment vertical="center"/>
    </xf>
    <xf numFmtId="14" fontId="11" fillId="0" borderId="0" xfId="2" applyNumberFormat="1" applyFont="1" applyAlignment="1">
      <alignment vertical="center"/>
    </xf>
    <xf numFmtId="1" fontId="11" fillId="5" borderId="1" xfId="2" quotePrefix="1" applyNumberFormat="1" applyFont="1" applyFill="1" applyBorder="1" applyAlignment="1">
      <alignment vertical="center"/>
    </xf>
    <xf numFmtId="1" fontId="11" fillId="0" borderId="0" xfId="2" applyNumberFormat="1" applyFont="1" applyFill="1" applyAlignment="1">
      <alignment vertical="center"/>
    </xf>
    <xf numFmtId="1" fontId="11" fillId="0" borderId="0" xfId="2" applyNumberFormat="1" applyFont="1" applyFill="1" applyBorder="1" applyAlignment="1">
      <alignment vertical="center"/>
    </xf>
    <xf numFmtId="0" fontId="11" fillId="0" borderId="1" xfId="3" applyFont="1" applyBorder="1" applyAlignment="1">
      <alignment vertical="center"/>
    </xf>
    <xf numFmtId="1" fontId="11" fillId="0" borderId="1" xfId="2" applyNumberFormat="1" applyFont="1" applyBorder="1" applyAlignment="1">
      <alignment vertical="center"/>
    </xf>
    <xf numFmtId="0" fontId="11" fillId="0" borderId="1" xfId="2" applyFont="1" applyBorder="1" applyAlignment="1">
      <alignment horizontal="center" vertical="center"/>
    </xf>
    <xf numFmtId="1" fontId="11" fillId="0" borderId="0" xfId="2" quotePrefix="1" applyNumberFormat="1" applyFont="1" applyFill="1" applyBorder="1" applyAlignment="1">
      <alignment vertical="center"/>
    </xf>
    <xf numFmtId="2" fontId="11" fillId="0" borderId="1" xfId="2" applyNumberFormat="1" applyFont="1" applyFill="1" applyBorder="1" applyAlignment="1">
      <alignment vertical="center"/>
    </xf>
    <xf numFmtId="1" fontId="11" fillId="0" borderId="1" xfId="2" applyNumberFormat="1" applyFont="1" applyBorder="1" applyAlignment="1">
      <alignment horizontal="center" vertical="center"/>
    </xf>
    <xf numFmtId="14" fontId="11" fillId="0" borderId="1" xfId="2" quotePrefix="1" applyNumberFormat="1" applyFont="1" applyFill="1" applyBorder="1"/>
    <xf numFmtId="0" fontId="11" fillId="0" borderId="1" xfId="3" applyFont="1" applyFill="1" applyBorder="1" applyAlignment="1">
      <alignment vertical="center"/>
    </xf>
    <xf numFmtId="0" fontId="11" fillId="0" borderId="0" xfId="3" applyFont="1" applyAlignment="1">
      <alignment vertical="center"/>
    </xf>
    <xf numFmtId="169" fontId="11" fillId="0" borderId="0" xfId="2" applyNumberFormat="1" applyFont="1" applyFill="1" applyBorder="1" applyAlignment="1">
      <alignment vertical="center"/>
    </xf>
    <xf numFmtId="14" fontId="11" fillId="0" borderId="0" xfId="2" applyNumberFormat="1" applyFont="1" applyFill="1" applyAlignment="1">
      <alignment vertical="center"/>
    </xf>
    <xf numFmtId="0" fontId="11" fillId="0" borderId="0" xfId="2" applyFont="1" applyFill="1" applyAlignment="1">
      <alignment vertical="center"/>
    </xf>
    <xf numFmtId="0" fontId="11" fillId="0" borderId="0" xfId="3" applyFont="1" applyFill="1" applyBorder="1" applyAlignment="1">
      <alignment vertical="center"/>
    </xf>
    <xf numFmtId="169" fontId="11" fillId="0" borderId="0" xfId="3" applyNumberFormat="1" applyFont="1" applyFill="1" applyBorder="1" applyAlignment="1">
      <alignment vertical="center"/>
    </xf>
    <xf numFmtId="0" fontId="11" fillId="0" borderId="0" xfId="3" applyNumberFormat="1" applyFont="1" applyFill="1" applyBorder="1" applyAlignment="1">
      <alignment vertical="center"/>
    </xf>
    <xf numFmtId="169" fontId="9" fillId="0" borderId="0" xfId="2" applyNumberFormat="1" applyFont="1" applyFill="1" applyBorder="1" applyAlignment="1">
      <alignment vertical="center"/>
    </xf>
    <xf numFmtId="169" fontId="9" fillId="0" borderId="0" xfId="3" applyNumberFormat="1" applyFont="1" applyFill="1" applyBorder="1" applyAlignment="1">
      <alignment vertical="center"/>
    </xf>
    <xf numFmtId="165" fontId="11" fillId="0" borderId="0" xfId="2" applyNumberFormat="1" applyFont="1" applyAlignment="1">
      <alignment horizontal="left" vertical="center"/>
    </xf>
    <xf numFmtId="0" fontId="11" fillId="0" borderId="0" xfId="3" applyFont="1" applyBorder="1" applyAlignment="1">
      <alignment vertical="center"/>
    </xf>
    <xf numFmtId="0" fontId="11" fillId="0" borderId="13" xfId="2" applyFont="1" applyBorder="1" applyAlignment="1">
      <alignment vertical="center"/>
    </xf>
    <xf numFmtId="164" fontId="9" fillId="0" borderId="3" xfId="2" applyNumberFormat="1" applyFont="1" applyBorder="1" applyAlignment="1">
      <alignment vertical="center"/>
    </xf>
    <xf numFmtId="2" fontId="11" fillId="0" borderId="3" xfId="2" applyNumberFormat="1" applyFont="1" applyBorder="1" applyAlignment="1">
      <alignment vertical="center"/>
    </xf>
    <xf numFmtId="2" fontId="9" fillId="0" borderId="4" xfId="2" applyNumberFormat="1" applyFont="1" applyBorder="1" applyAlignment="1">
      <alignment vertical="center"/>
    </xf>
    <xf numFmtId="164" fontId="11" fillId="0" borderId="3" xfId="2" applyNumberFormat="1" applyFont="1" applyBorder="1" applyAlignment="1">
      <alignment vertical="center"/>
    </xf>
    <xf numFmtId="164" fontId="9" fillId="3" borderId="2" xfId="2" applyNumberFormat="1" applyFont="1" applyFill="1" applyBorder="1" applyAlignment="1">
      <alignment vertical="center"/>
    </xf>
    <xf numFmtId="2" fontId="11" fillId="3" borderId="3" xfId="2" applyNumberFormat="1" applyFont="1" applyFill="1" applyBorder="1" applyAlignment="1">
      <alignment vertical="center"/>
    </xf>
    <xf numFmtId="0" fontId="11" fillId="0" borderId="4" xfId="2" applyFont="1" applyBorder="1" applyAlignment="1">
      <alignment vertical="center"/>
    </xf>
    <xf numFmtId="0" fontId="11" fillId="0" borderId="14" xfId="2" applyFont="1" applyBorder="1" applyAlignment="1">
      <alignment vertical="center"/>
    </xf>
    <xf numFmtId="164" fontId="11" fillId="0" borderId="6" xfId="2" applyNumberFormat="1" applyFont="1" applyBorder="1" applyAlignment="1">
      <alignment vertical="center"/>
    </xf>
    <xf numFmtId="2" fontId="11" fillId="0" borderId="6" xfId="2" applyNumberFormat="1" applyFont="1" applyBorder="1" applyAlignment="1">
      <alignment vertical="center"/>
    </xf>
    <xf numFmtId="2" fontId="11" fillId="0" borderId="7" xfId="2" applyNumberFormat="1" applyFont="1" applyBorder="1" applyAlignment="1">
      <alignment vertical="center"/>
    </xf>
    <xf numFmtId="168" fontId="11" fillId="3" borderId="5" xfId="2" applyNumberFormat="1" applyFont="1" applyFill="1" applyBorder="1" applyAlignment="1">
      <alignment vertical="center"/>
    </xf>
    <xf numFmtId="2" fontId="11" fillId="3" borderId="6" xfId="2" applyNumberFormat="1" applyFont="1" applyFill="1" applyBorder="1" applyAlignment="1">
      <alignment vertical="center"/>
    </xf>
    <xf numFmtId="0" fontId="11" fillId="0" borderId="7" xfId="2" applyFont="1" applyBorder="1" applyAlignment="1">
      <alignment vertical="center"/>
    </xf>
    <xf numFmtId="164" fontId="11" fillId="0" borderId="0" xfId="2" applyNumberFormat="1" applyFont="1" applyAlignment="1">
      <alignment vertical="center"/>
    </xf>
    <xf numFmtId="164" fontId="11" fillId="3" borderId="9" xfId="2" applyNumberFormat="1" applyFont="1" applyFill="1" applyBorder="1" applyAlignment="1">
      <alignment horizontal="centerContinuous" vertical="center"/>
    </xf>
    <xf numFmtId="164" fontId="11" fillId="3" borderId="10" xfId="2" applyNumberFormat="1" applyFont="1" applyFill="1" applyBorder="1" applyAlignment="1">
      <alignment horizontal="centerContinuous" vertical="center"/>
    </xf>
    <xf numFmtId="164" fontId="11" fillId="0" borderId="11" xfId="2" applyNumberFormat="1" applyFont="1" applyBorder="1" applyAlignment="1">
      <alignment vertical="center"/>
    </xf>
    <xf numFmtId="165" fontId="11" fillId="3" borderId="0" xfId="2" applyNumberFormat="1" applyFont="1" applyFill="1" applyAlignment="1">
      <alignment horizontal="left" vertical="center"/>
    </xf>
    <xf numFmtId="165" fontId="11" fillId="0" borderId="0" xfId="2" applyNumberFormat="1" applyFont="1" applyAlignment="1">
      <alignment vertical="center"/>
    </xf>
    <xf numFmtId="164" fontId="9" fillId="3" borderId="3" xfId="2" applyNumberFormat="1" applyFont="1" applyFill="1" applyBorder="1" applyAlignment="1">
      <alignment vertical="center"/>
    </xf>
    <xf numFmtId="0" fontId="11" fillId="0" borderId="3" xfId="2" applyFont="1" applyBorder="1" applyAlignment="1">
      <alignment vertical="center"/>
    </xf>
    <xf numFmtId="0" fontId="11" fillId="0" borderId="6" xfId="2" applyFont="1" applyBorder="1" applyAlignment="1">
      <alignment vertical="center"/>
    </xf>
    <xf numFmtId="2" fontId="11" fillId="0" borderId="7" xfId="2" applyNumberFormat="1" applyFont="1" applyFill="1" applyBorder="1" applyAlignment="1">
      <alignment vertical="center"/>
    </xf>
    <xf numFmtId="170" fontId="11" fillId="0" borderId="0" xfId="2" applyNumberFormat="1" applyFont="1" applyAlignment="1">
      <alignment vertical="center"/>
    </xf>
    <xf numFmtId="0" fontId="8" fillId="4" borderId="0" xfId="2" applyFont="1" applyFill="1" applyBorder="1" applyAlignment="1">
      <alignment vertical="center"/>
    </xf>
    <xf numFmtId="0" fontId="16" fillId="4" borderId="0" xfId="2" applyFont="1" applyFill="1" applyBorder="1" applyAlignment="1">
      <alignment vertical="center"/>
    </xf>
    <xf numFmtId="0" fontId="16" fillId="0" borderId="0" xfId="2" applyFont="1" applyAlignment="1">
      <alignment vertical="center"/>
    </xf>
    <xf numFmtId="0" fontId="8" fillId="4" borderId="1" xfId="2" quotePrefix="1" applyFont="1" applyFill="1" applyBorder="1" applyAlignment="1">
      <alignment vertical="center"/>
    </xf>
    <xf numFmtId="0" fontId="10" fillId="8" borderId="0" xfId="2" applyFont="1" applyFill="1" applyAlignment="1">
      <alignment vertical="center" wrapText="1"/>
    </xf>
    <xf numFmtId="0" fontId="7" fillId="0" borderId="0" xfId="0" applyNumberFormat="1" applyFont="1" applyProtection="1"/>
    <xf numFmtId="0" fontId="12" fillId="7"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12" fillId="7" borderId="15"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xf>
    <xf numFmtId="0" fontId="12" fillId="7" borderId="20"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7"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11" xfId="0" applyFont="1" applyBorder="1" applyAlignment="1" applyProtection="1">
      <alignment horizontal="left" vertical="center"/>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0" fillId="0" borderId="0" xfId="0" applyFont="1" applyBorder="1" applyAlignment="1" applyProtection="1">
      <alignment horizontal="center"/>
    </xf>
    <xf numFmtId="14" fontId="12" fillId="7" borderId="8" xfId="0" applyNumberFormat="1" applyFont="1" applyFill="1" applyBorder="1" applyAlignment="1" applyProtection="1">
      <alignment horizontal="center" vertical="center"/>
      <protection locked="0"/>
    </xf>
    <xf numFmtId="0" fontId="12" fillId="7" borderId="10" xfId="0" applyFont="1" applyFill="1" applyBorder="1" applyAlignment="1" applyProtection="1">
      <alignment horizontal="center" vertical="center"/>
      <protection locked="0"/>
    </xf>
    <xf numFmtId="0" fontId="12" fillId="7" borderId="9" xfId="0" applyFont="1" applyFill="1" applyBorder="1" applyAlignment="1" applyProtection="1">
      <alignment horizontal="center" vertical="center"/>
      <protection locked="0"/>
    </xf>
    <xf numFmtId="0" fontId="11" fillId="0" borderId="0" xfId="0" quotePrefix="1" applyFont="1" applyAlignment="1" applyProtection="1">
      <alignment horizontal="left" vertical="top" wrapText="1"/>
    </xf>
    <xf numFmtId="0" fontId="11" fillId="0" borderId="0" xfId="0" applyFont="1" applyAlignment="1" applyProtection="1">
      <alignment horizontal="left" vertical="top" wrapText="1"/>
    </xf>
    <xf numFmtId="0" fontId="11" fillId="0" borderId="6" xfId="0" applyFont="1" applyBorder="1" applyAlignment="1" applyProtection="1">
      <alignment horizontal="center" vertical="center"/>
    </xf>
    <xf numFmtId="0" fontId="7" fillId="0" borderId="6" xfId="0" applyFont="1" applyBorder="1" applyAlignment="1" applyProtection="1">
      <alignment horizontal="center" vertical="center"/>
    </xf>
    <xf numFmtId="4" fontId="7" fillId="0" borderId="3" xfId="0" applyNumberFormat="1" applyFont="1" applyBorder="1" applyAlignment="1" applyProtection="1">
      <alignment horizontal="center" vertical="center"/>
    </xf>
    <xf numFmtId="0" fontId="12" fillId="7" borderId="1" xfId="0" applyFont="1" applyFill="1" applyBorder="1" applyAlignment="1" applyProtection="1">
      <alignment horizontal="left" vertical="center" wrapText="1"/>
      <protection locked="0"/>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2" fontId="7" fillId="0" borderId="1" xfId="0" applyNumberFormat="1" applyFont="1" applyBorder="1" applyAlignment="1" applyProtection="1">
      <alignment horizontal="center" vertical="center" wrapText="1"/>
    </xf>
    <xf numFmtId="14" fontId="12" fillId="7" borderId="9" xfId="0" applyNumberFormat="1" applyFont="1" applyFill="1" applyBorder="1" applyAlignment="1" applyProtection="1">
      <alignment horizontal="center" vertical="center"/>
      <protection locked="0"/>
    </xf>
    <xf numFmtId="14" fontId="12" fillId="7" borderId="10" xfId="0" applyNumberFormat="1" applyFont="1" applyFill="1" applyBorder="1" applyAlignment="1" applyProtection="1">
      <alignment horizontal="center" vertical="center"/>
      <protection locked="0"/>
    </xf>
    <xf numFmtId="14" fontId="12"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7" borderId="8" xfId="0" applyFont="1" applyFill="1" applyBorder="1" applyAlignment="1" applyProtection="1">
      <alignment horizontal="center" vertical="center"/>
      <protection locked="0"/>
    </xf>
    <xf numFmtId="2" fontId="7" fillId="0" borderId="10"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12" fillId="7" borderId="1" xfId="1" applyNumberFormat="1" applyFont="1" applyFill="1" applyBorder="1" applyAlignment="1" applyProtection="1">
      <alignment horizontal="center" vertical="center"/>
      <protection locked="0"/>
    </xf>
    <xf numFmtId="4"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0" xfId="0" quotePrefix="1"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0" xfId="0" applyFont="1" applyAlignment="1" applyProtection="1">
      <alignment horizontal="right" vertical="center"/>
    </xf>
    <xf numFmtId="0" fontId="6" fillId="0" borderId="11" xfId="0" applyFont="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2" fontId="7" fillId="0" borderId="8" xfId="0" applyNumberFormat="1" applyFont="1" applyFill="1" applyBorder="1" applyAlignment="1" applyProtection="1">
      <alignment horizontal="center" vertical="center"/>
    </xf>
    <xf numFmtId="0" fontId="6" fillId="0" borderId="0" xfId="0" applyFont="1" applyAlignment="1" applyProtection="1">
      <alignment horizontal="right" vertical="center" wrapText="1"/>
    </xf>
    <xf numFmtId="0" fontId="6" fillId="0" borderId="11" xfId="0" applyFont="1" applyBorder="1" applyAlignment="1" applyProtection="1">
      <alignment horizontal="right" vertical="center" wrapText="1"/>
    </xf>
    <xf numFmtId="0" fontId="9" fillId="0" borderId="0" xfId="0" applyFont="1" applyAlignment="1" applyProtection="1">
      <alignment horizontal="right" vertical="center"/>
    </xf>
    <xf numFmtId="0" fontId="9" fillId="0" borderId="11" xfId="0" applyFont="1" applyBorder="1" applyAlignment="1" applyProtection="1">
      <alignment horizontal="right" vertical="center"/>
    </xf>
    <xf numFmtId="0" fontId="6" fillId="0" borderId="0" xfId="0" applyFont="1" applyAlignment="1" applyProtection="1">
      <alignment horizontal="center" vertical="center"/>
    </xf>
    <xf numFmtId="0" fontId="6" fillId="0" borderId="11" xfId="0" applyFont="1" applyBorder="1" applyAlignment="1" applyProtection="1">
      <alignment horizontal="center" vertical="center"/>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2" fontId="6" fillId="0" borderId="2" xfId="0" applyNumberFormat="1" applyFont="1" applyBorder="1" applyAlignment="1" applyProtection="1">
      <alignment horizontal="center" vertical="center"/>
    </xf>
    <xf numFmtId="2" fontId="6" fillId="0" borderId="3" xfId="0" applyNumberFormat="1" applyFont="1" applyBorder="1" applyAlignment="1" applyProtection="1">
      <alignment horizontal="center" vertical="center"/>
    </xf>
    <xf numFmtId="2" fontId="6" fillId="0" borderId="4" xfId="0" applyNumberFormat="1" applyFont="1" applyBorder="1" applyAlignment="1" applyProtection="1">
      <alignment horizontal="center" vertical="center"/>
    </xf>
    <xf numFmtId="2" fontId="6" fillId="0" borderId="5" xfId="0" applyNumberFormat="1" applyFont="1" applyBorder="1" applyAlignment="1" applyProtection="1">
      <alignment horizontal="center" vertical="center"/>
    </xf>
    <xf numFmtId="2" fontId="6" fillId="0" borderId="6" xfId="0" applyNumberFormat="1" applyFont="1" applyBorder="1" applyAlignment="1" applyProtection="1">
      <alignment horizontal="center" vertical="center"/>
    </xf>
    <xf numFmtId="2" fontId="6" fillId="0" borderId="7" xfId="0" applyNumberFormat="1" applyFont="1" applyBorder="1" applyAlignment="1" applyProtection="1">
      <alignment horizontal="center" vertical="center"/>
    </xf>
    <xf numFmtId="2" fontId="6" fillId="8" borderId="8" xfId="0" applyNumberFormat="1" applyFont="1" applyFill="1" applyBorder="1" applyAlignment="1" applyProtection="1">
      <alignment horizontal="center" vertical="center"/>
    </xf>
    <xf numFmtId="2" fontId="6" fillId="8" borderId="9" xfId="0" applyNumberFormat="1" applyFont="1" applyFill="1" applyBorder="1" applyAlignment="1" applyProtection="1">
      <alignment horizontal="center" vertical="center"/>
    </xf>
    <xf numFmtId="2" fontId="6" fillId="8" borderId="10" xfId="0" applyNumberFormat="1" applyFont="1" applyFill="1" applyBorder="1" applyAlignment="1" applyProtection="1">
      <alignment horizontal="center" vertical="center"/>
    </xf>
    <xf numFmtId="2" fontId="7" fillId="0" borderId="2" xfId="0" applyNumberFormat="1"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horizontal="left" vertical="center" wrapText="1"/>
    </xf>
    <xf numFmtId="2" fontId="7" fillId="0" borderId="0" xfId="0" applyNumberFormat="1" applyFont="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14" fillId="5" borderId="8" xfId="2" applyFont="1" applyFill="1" applyBorder="1" applyAlignment="1">
      <alignment horizontal="left" vertical="center" wrapText="1"/>
    </xf>
    <xf numFmtId="0" fontId="14" fillId="5" borderId="10" xfId="2" applyFont="1" applyFill="1" applyBorder="1" applyAlignment="1">
      <alignment horizontal="left" vertical="center" wrapText="1"/>
    </xf>
    <xf numFmtId="0" fontId="9" fillId="6" borderId="1" xfId="2" applyFont="1" applyFill="1" applyBorder="1" applyAlignment="1">
      <alignment horizontal="center" vertical="center"/>
    </xf>
  </cellXfs>
  <cellStyles count="4">
    <cellStyle name="Prozent" xfId="1" builtinId="5"/>
    <cellStyle name="Standard" xfId="0" builtinId="0"/>
    <cellStyle name="Standard 2" xfId="3"/>
    <cellStyle name="Standard_Sollarbeitszeit" xfId="2"/>
  </cellStyles>
  <dxfs count="10">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s>
  <tableStyles count="0" defaultTableStyle="TableStyleMedium2" defaultPivotStyle="PivotStyleLight16"/>
  <colors>
    <mruColors>
      <color rgb="FF009645"/>
      <color rgb="FFCC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7939</xdr:rowOff>
    </xdr:from>
    <xdr:to>
      <xdr:col>6</xdr:col>
      <xdr:colOff>828674</xdr:colOff>
      <xdr:row>52</xdr:row>
      <xdr:rowOff>150814</xdr:rowOff>
    </xdr:to>
    <xdr:sp macro="" textlink="">
      <xdr:nvSpPr>
        <xdr:cNvPr id="2" name="Textfeld 1"/>
        <xdr:cNvSpPr txBox="1"/>
      </xdr:nvSpPr>
      <xdr:spPr>
        <a:xfrm>
          <a:off x="0" y="7675564"/>
          <a:ext cx="5876924"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Hinweise</a:t>
          </a:r>
          <a:r>
            <a:rPr lang="de-CH" sz="1050" b="0">
              <a:latin typeface="Arial" panose="020B0604020202020204" pitchFamily="34" charset="0"/>
              <a:cs typeface="Arial" panose="020B0604020202020204" pitchFamily="34" charset="0"/>
            </a:rPr>
            <a:t>:</a:t>
          </a:r>
          <a:endParaRPr lang="de-CH" sz="1050" b="1">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 Pro Kalenderjahr ist ein separates Formular zu verwenden. </a:t>
          </a:r>
        </a:p>
        <a:p>
          <a:r>
            <a:rPr lang="de-CH" sz="1050">
              <a:latin typeface="Arial" panose="020B0604020202020204" pitchFamily="34" charset="0"/>
              <a:cs typeface="Arial" panose="020B0604020202020204" pitchFamily="34" charset="0"/>
            </a:rPr>
            <a:t>- Ist das zusammenhängende</a:t>
          </a:r>
          <a:r>
            <a:rPr lang="de-CH" sz="1050" baseline="0">
              <a:latin typeface="Arial" panose="020B0604020202020204" pitchFamily="34" charset="0"/>
              <a:cs typeface="Arial" panose="020B0604020202020204" pitchFamily="34" charset="0"/>
            </a:rPr>
            <a:t> Ereignis jahresübergreifend, müssen zwei Formulare ausgefüllt werden.</a:t>
          </a:r>
        </a:p>
        <a:p>
          <a:r>
            <a:rPr lang="de-CH" sz="1050" baseline="0">
              <a:latin typeface="Arial" panose="020B0604020202020204" pitchFamily="34" charset="0"/>
              <a:cs typeface="Arial" panose="020B0604020202020204" pitchFamily="34" charset="0"/>
            </a:rPr>
            <a:t>- In den grünen Feldern können Eingaben gemacht werden.</a:t>
          </a:r>
          <a:endParaRPr lang="de-CH" sz="1050">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 Oben werden die</a:t>
          </a:r>
          <a:r>
            <a:rPr lang="de-CH" sz="1050" baseline="0">
              <a:latin typeface="Arial" panose="020B0604020202020204" pitchFamily="34" charset="0"/>
              <a:cs typeface="Arial" panose="020B0604020202020204" pitchFamily="34" charset="0"/>
            </a:rPr>
            <a:t> Ferien und Sollarbeitstage ungekürzt bei ganzjähriger Anstellung angezeigt. Unten in der Berechnungsformel werden die Werte gem. Anstellungszeit angezeigt. </a:t>
          </a:r>
        </a:p>
        <a:p>
          <a:r>
            <a:rPr lang="de-CH" sz="1050" baseline="0">
              <a:latin typeface="Arial" panose="020B0604020202020204" pitchFamily="34" charset="0"/>
              <a:cs typeface="Arial" panose="020B0604020202020204" pitchFamily="34" charset="0"/>
            </a:rPr>
            <a:t>- Die Kürzung der Ferientage erfolgt nach Kalendertagen während der Anstellungszeit (entspricht AZALEE). Die Kürzung der Sollzeit entspricht den Arbeitstagen während der Anstellungszeit.</a:t>
          </a:r>
        </a:p>
        <a:p>
          <a:r>
            <a:rPr lang="de-CH" sz="1050" baseline="0">
              <a:latin typeface="Arial" panose="020B0604020202020204" pitchFamily="34" charset="0"/>
              <a:cs typeface="Arial" panose="020B0604020202020204" pitchFamily="34" charset="0"/>
            </a:rPr>
            <a:t>- Zu etlichen Feldern sind Kommentare mit zusätzlichen Hinweisen erfasst (Felder mit rotem Dreieck rechts oben. Mit Maus über Feld fahren, und Kommentar lesen).</a:t>
          </a: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xdr:txBody>
    </xdr:sp>
    <xdr:clientData/>
  </xdr:twoCellAnchor>
  <xdr:twoCellAnchor>
    <xdr:from>
      <xdr:col>0</xdr:col>
      <xdr:colOff>0</xdr:colOff>
      <xdr:row>23</xdr:row>
      <xdr:rowOff>152212</xdr:rowOff>
    </xdr:from>
    <xdr:to>
      <xdr:col>6</xdr:col>
      <xdr:colOff>805996</xdr:colOff>
      <xdr:row>41</xdr:row>
      <xdr:rowOff>150812</xdr:rowOff>
    </xdr:to>
    <xdr:sp macro="" textlink="">
      <xdr:nvSpPr>
        <xdr:cNvPr id="7" name="Textfeld 6"/>
        <xdr:cNvSpPr txBox="1"/>
      </xdr:nvSpPr>
      <xdr:spPr>
        <a:xfrm>
          <a:off x="0" y="4351150"/>
          <a:ext cx="5854246" cy="328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 Erfassungen gem. Arztzeugnis</a:t>
          </a:r>
          <a:r>
            <a:rPr lang="de-CH" sz="105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	1. Zeitraum (von/bis) erfassen</a:t>
          </a:r>
        </a:p>
        <a:p>
          <a:r>
            <a:rPr lang="de-CH" sz="1050">
              <a:latin typeface="Arial" panose="020B0604020202020204" pitchFamily="34" charset="0"/>
              <a:cs typeface="Arial" panose="020B0604020202020204" pitchFamily="34" charset="0"/>
            </a:rPr>
            <a:t>	2. Arbeitsausfall in Prozent erfassen </a:t>
          </a:r>
        </a:p>
        <a:p>
          <a:r>
            <a:rPr lang="de-CH" sz="1050">
              <a:latin typeface="Arial" panose="020B0604020202020204" pitchFamily="34" charset="0"/>
              <a:cs typeface="Arial" panose="020B0604020202020204" pitchFamily="34" charset="0"/>
            </a:rPr>
            <a:t>	3. und Bemerkung ergänzen</a:t>
          </a: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r>
            <a:rPr lang="de-CH" sz="1050" b="1">
              <a:latin typeface="Arial" panose="020B0604020202020204" pitchFamily="34" charset="0"/>
              <a:cs typeface="Arial" panose="020B0604020202020204" pitchFamily="34" charset="0"/>
            </a:rPr>
            <a:t>- Erfassung nach Absenzstunden aus der Zeitwirtschaft</a:t>
          </a:r>
          <a:r>
            <a:rPr lang="de-CH" sz="105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	1. Zeitraum (von/bis) erfassen</a:t>
          </a:r>
        </a:p>
        <a:p>
          <a:r>
            <a:rPr lang="de-CH" sz="1050">
              <a:latin typeface="Arial" panose="020B0604020202020204" pitchFamily="34" charset="0"/>
              <a:cs typeface="Arial" panose="020B0604020202020204" pitchFamily="34" charset="0"/>
            </a:rPr>
            <a:t>	2. Gesamtzahl der Absenzstunden im Zeitraum erfassen</a:t>
          </a:r>
        </a:p>
        <a:p>
          <a:r>
            <a:rPr lang="de-CH" sz="1050">
              <a:latin typeface="Arial" panose="020B0604020202020204" pitchFamily="34" charset="0"/>
              <a:cs typeface="Arial" panose="020B0604020202020204" pitchFamily="34" charset="0"/>
            </a:rPr>
            <a:t>	3. Beschäftigungsgrad in dieser Zeit erfassen</a:t>
          </a:r>
        </a:p>
        <a:p>
          <a:r>
            <a:rPr lang="de-CH" sz="1050">
              <a:latin typeface="Arial" panose="020B0604020202020204" pitchFamily="34" charset="0"/>
              <a:cs typeface="Arial" panose="020B0604020202020204" pitchFamily="34" charset="0"/>
            </a:rPr>
            <a:t>                             </a:t>
          </a:r>
          <a:r>
            <a:rPr lang="de-CH" sz="1050" i="1">
              <a:latin typeface="Arial" panose="020B0604020202020204" pitchFamily="34" charset="0"/>
              <a:cs typeface="Arial" panose="020B0604020202020204" pitchFamily="34" charset="0"/>
            </a:rPr>
            <a:t>Die Zeile wird blau, sobald Stunden erfasst wurden.</a:t>
          </a:r>
        </a:p>
        <a:p>
          <a:r>
            <a:rPr lang="de-CH" sz="1050" baseline="0">
              <a:latin typeface="Arial" panose="020B0604020202020204" pitchFamily="34" charset="0"/>
              <a:cs typeface="Arial" panose="020B0604020202020204" pitchFamily="34" charset="0"/>
            </a:rPr>
            <a:t>	4. Wochenstunden in dieser Zeit</a:t>
          </a:r>
          <a:br>
            <a:rPr lang="de-CH" sz="1050" baseline="0">
              <a:latin typeface="Arial" panose="020B0604020202020204" pitchFamily="34" charset="0"/>
              <a:cs typeface="Arial" panose="020B0604020202020204" pitchFamily="34" charset="0"/>
            </a:rPr>
          </a:br>
          <a:r>
            <a:rPr lang="de-CH" sz="1050" baseline="0">
              <a:latin typeface="Arial" panose="020B0604020202020204" pitchFamily="34" charset="0"/>
              <a:cs typeface="Arial" panose="020B0604020202020204" pitchFamily="34" charset="0"/>
            </a:rPr>
            <a:t>	     </a:t>
          </a:r>
          <a:r>
            <a:rPr lang="de-CH" sz="1050" i="1" baseline="0">
              <a:latin typeface="Arial" panose="020B0604020202020204" pitchFamily="34" charset="0"/>
              <a:cs typeface="Arial" panose="020B0604020202020204" pitchFamily="34" charset="0"/>
            </a:rPr>
            <a:t>Beim BandBreitenModell 4 -&gt; 42 Std.; beim BBM7 -&gt; 43 Std. etc.</a:t>
          </a:r>
          <a:endParaRPr lang="de-CH" sz="1050" i="1">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	5. und Bemerkung ergänzen (Ursprung der Erfassung)</a:t>
          </a:r>
        </a:p>
      </xdr:txBody>
    </xdr:sp>
    <xdr:clientData/>
  </xdr:twoCellAnchor>
  <xdr:twoCellAnchor>
    <xdr:from>
      <xdr:col>0</xdr:col>
      <xdr:colOff>1</xdr:colOff>
      <xdr:row>0</xdr:row>
      <xdr:rowOff>9526</xdr:rowOff>
    </xdr:from>
    <xdr:to>
      <xdr:col>6</xdr:col>
      <xdr:colOff>819151</xdr:colOff>
      <xdr:row>23</xdr:row>
      <xdr:rowOff>134470</xdr:rowOff>
    </xdr:to>
    <xdr:sp macro="" textlink="">
      <xdr:nvSpPr>
        <xdr:cNvPr id="3" name="Textfeld 2"/>
        <xdr:cNvSpPr txBox="1"/>
      </xdr:nvSpPr>
      <xdr:spPr>
        <a:xfrm>
          <a:off x="1" y="9526"/>
          <a:ext cx="5861797" cy="4248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Anleitung</a:t>
          </a:r>
          <a:r>
            <a:rPr lang="de-CH" sz="1050" b="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-&gt; Stammdaten erfassen</a:t>
          </a:r>
        </a:p>
        <a:p>
          <a:r>
            <a:rPr lang="de-CH" sz="1050" baseline="0">
              <a:latin typeface="Arial" panose="020B0604020202020204" pitchFamily="34" charset="0"/>
              <a:cs typeface="Arial" panose="020B0604020202020204" pitchFamily="34" charset="0"/>
            </a:rPr>
            <a:t>-&gt; Absenzen erfassen </a:t>
          </a:r>
          <a:br>
            <a:rPr lang="de-CH" sz="1050" baseline="0">
              <a:latin typeface="Arial" panose="020B0604020202020204" pitchFamily="34" charset="0"/>
              <a:cs typeface="Arial" panose="020B0604020202020204" pitchFamily="34" charset="0"/>
            </a:rPr>
          </a:br>
          <a:r>
            <a:rPr lang="de-CH" sz="1050" baseline="0">
              <a:latin typeface="Arial" panose="020B0604020202020204" pitchFamily="34" charset="0"/>
              <a:cs typeface="Arial" panose="020B0604020202020204" pitchFamily="34" charset="0"/>
            </a:rPr>
            <a:t>    </a:t>
          </a:r>
          <a:r>
            <a:rPr lang="de-CH" sz="1050" i="1" baseline="0">
              <a:latin typeface="Arial" panose="020B0604020202020204" pitchFamily="34" charset="0"/>
              <a:cs typeface="Arial" panose="020B0604020202020204" pitchFamily="34" charset="0"/>
            </a:rPr>
            <a:t>(entweder gem. Arztzeugnissen oder nach Absenzstunden aus der Zeitwirtschaft)</a:t>
          </a:r>
        </a:p>
        <a:p>
          <a:r>
            <a:rPr lang="de-CH" sz="1050" baseline="0">
              <a:latin typeface="Arial" panose="020B0604020202020204" pitchFamily="34" charset="0"/>
              <a:cs typeface="Arial" panose="020B0604020202020204" pitchFamily="34" charset="0"/>
            </a:rPr>
            <a:t>-&gt; Kürzung ablesen</a:t>
          </a: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27</xdr:row>
      <xdr:rowOff>158753</xdr:rowOff>
    </xdr:from>
    <xdr:to>
      <xdr:col>6</xdr:col>
      <xdr:colOff>797755</xdr:colOff>
      <xdr:row>30</xdr:row>
      <xdr:rowOff>142879</xdr:rowOff>
    </xdr:to>
    <xdr:pic>
      <xdr:nvPicPr>
        <xdr:cNvPr id="9" name="Grafik 8"/>
        <xdr:cNvPicPr>
          <a:picLocks noChangeAspect="1"/>
        </xdr:cNvPicPr>
      </xdr:nvPicPr>
      <xdr:blipFill>
        <a:blip xmlns:r="http://schemas.openxmlformats.org/officeDocument/2006/relationships" r:embed="rId1"/>
        <a:stretch>
          <a:fillRect/>
        </a:stretch>
      </xdr:blipFill>
      <xdr:spPr>
        <a:xfrm>
          <a:off x="0" y="5087941"/>
          <a:ext cx="5846005" cy="531813"/>
        </a:xfrm>
        <a:prstGeom prst="rect">
          <a:avLst/>
        </a:prstGeom>
      </xdr:spPr>
    </xdr:pic>
    <xdr:clientData/>
  </xdr:twoCellAnchor>
  <xdr:twoCellAnchor editAs="oneCell">
    <xdr:from>
      <xdr:col>0</xdr:col>
      <xdr:colOff>1</xdr:colOff>
      <xdr:row>39</xdr:row>
      <xdr:rowOff>6810</xdr:rowOff>
    </xdr:from>
    <xdr:to>
      <xdr:col>6</xdr:col>
      <xdr:colOff>801689</xdr:colOff>
      <xdr:row>41</xdr:row>
      <xdr:rowOff>173856</xdr:rowOff>
    </xdr:to>
    <xdr:pic>
      <xdr:nvPicPr>
        <xdr:cNvPr id="11" name="Grafik 10"/>
        <xdr:cNvPicPr>
          <a:picLocks noChangeAspect="1"/>
        </xdr:cNvPicPr>
      </xdr:nvPicPr>
      <xdr:blipFill>
        <a:blip xmlns:r="http://schemas.openxmlformats.org/officeDocument/2006/relationships" r:embed="rId2"/>
        <a:stretch>
          <a:fillRect/>
        </a:stretch>
      </xdr:blipFill>
      <xdr:spPr>
        <a:xfrm>
          <a:off x="1" y="7126748"/>
          <a:ext cx="5849938" cy="532171"/>
        </a:xfrm>
        <a:prstGeom prst="rect">
          <a:avLst/>
        </a:prstGeom>
      </xdr:spPr>
    </xdr:pic>
    <xdr:clientData/>
  </xdr:twoCellAnchor>
  <xdr:twoCellAnchor editAs="oneCell">
    <xdr:from>
      <xdr:col>0</xdr:col>
      <xdr:colOff>6086</xdr:colOff>
      <xdr:row>4</xdr:row>
      <xdr:rowOff>126458</xdr:rowOff>
    </xdr:from>
    <xdr:to>
      <xdr:col>6</xdr:col>
      <xdr:colOff>684068</xdr:colOff>
      <xdr:row>23</xdr:row>
      <xdr:rowOff>125753</xdr:rowOff>
    </xdr:to>
    <xdr:pic>
      <xdr:nvPicPr>
        <xdr:cNvPr id="12" name="Grafik 11"/>
        <xdr:cNvPicPr>
          <a:picLocks noChangeAspect="1"/>
        </xdr:cNvPicPr>
      </xdr:nvPicPr>
      <xdr:blipFill>
        <a:blip xmlns:r="http://schemas.openxmlformats.org/officeDocument/2006/relationships" r:embed="rId3"/>
        <a:stretch>
          <a:fillRect/>
        </a:stretch>
      </xdr:blipFill>
      <xdr:spPr>
        <a:xfrm>
          <a:off x="6086" y="853822"/>
          <a:ext cx="5717573" cy="34542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ams\_HR-Serv-Team\SAP-HR\Sollarbeitszeittabellen\2003\Besoldung%202001%20(Lehr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t\msoffice2010\vorlagen\Webseite%20personal.lu.ch\zz_Archiv\Soll_Zeiten_20XX_Kalenderjah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oldung 2001 (Lehrer)"/>
      <sheetName val="#BEZUG"/>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20XX"/>
      <sheetName val="SollAZ"/>
    </sheetNames>
    <sheetDataSet>
      <sheetData sheetId="0">
        <row r="2">
          <cell r="E2">
            <v>42</v>
          </cell>
        </row>
        <row r="8">
          <cell r="V8">
            <v>42370</v>
          </cell>
          <cell r="W8">
            <v>0</v>
          </cell>
          <cell r="X8" t="str">
            <v>Neujahr</v>
          </cell>
        </row>
        <row r="9">
          <cell r="V9">
            <v>42371</v>
          </cell>
          <cell r="W9">
            <v>0</v>
          </cell>
          <cell r="X9" t="str">
            <v>Berchtoldstag</v>
          </cell>
        </row>
        <row r="10">
          <cell r="V10">
            <v>42404</v>
          </cell>
          <cell r="W10">
            <v>4.2</v>
          </cell>
          <cell r="X10" t="str">
            <v>Schm. Do.</v>
          </cell>
        </row>
        <row r="11">
          <cell r="V11">
            <v>42408</v>
          </cell>
          <cell r="W11">
            <v>4.2</v>
          </cell>
          <cell r="X11" t="str">
            <v>Fas. Mo.</v>
          </cell>
        </row>
        <row r="12">
          <cell r="V12">
            <v>42454</v>
          </cell>
          <cell r="W12">
            <v>0</v>
          </cell>
          <cell r="X12" t="str">
            <v>Karfreitag</v>
          </cell>
        </row>
        <row r="13">
          <cell r="V13">
            <v>42457</v>
          </cell>
          <cell r="W13">
            <v>0</v>
          </cell>
          <cell r="X13" t="str">
            <v>Ostermontag</v>
          </cell>
        </row>
        <row r="14">
          <cell r="V14">
            <v>42495</v>
          </cell>
          <cell r="W14">
            <v>0</v>
          </cell>
          <cell r="X14" t="str">
            <v>Auffahrt</v>
          </cell>
        </row>
        <row r="15">
          <cell r="V15">
            <v>42506</v>
          </cell>
          <cell r="W15">
            <v>0</v>
          </cell>
          <cell r="X15" t="str">
            <v>Pfingstmontag</v>
          </cell>
        </row>
        <row r="16">
          <cell r="V16">
            <v>42516</v>
          </cell>
          <cell r="W16">
            <v>0</v>
          </cell>
          <cell r="X16" t="str">
            <v>Fronleich.</v>
          </cell>
        </row>
        <row r="17">
          <cell r="V17">
            <v>42583</v>
          </cell>
          <cell r="W17">
            <v>0</v>
          </cell>
          <cell r="X17" t="str">
            <v>Nat. Feiertag</v>
          </cell>
        </row>
        <row r="18">
          <cell r="V18">
            <v>42597</v>
          </cell>
          <cell r="W18">
            <v>0</v>
          </cell>
          <cell r="X18" t="str">
            <v>Maria Hmf.</v>
          </cell>
        </row>
        <row r="19">
          <cell r="V19">
            <v>42645</v>
          </cell>
          <cell r="X19" t="str">
            <v>St. Leodegar</v>
          </cell>
        </row>
        <row r="20">
          <cell r="V20">
            <v>42675</v>
          </cell>
          <cell r="W20">
            <v>0</v>
          </cell>
          <cell r="X20" t="str">
            <v>Allerheiligen</v>
          </cell>
        </row>
        <row r="21">
          <cell r="V21">
            <v>42712</v>
          </cell>
          <cell r="W21">
            <v>0</v>
          </cell>
          <cell r="X21" t="str">
            <v>Mariä Empf.</v>
          </cell>
        </row>
        <row r="22">
          <cell r="V22">
            <v>42728</v>
          </cell>
          <cell r="X22" t="str">
            <v>Hl. Abend</v>
          </cell>
        </row>
        <row r="23">
          <cell r="V23">
            <v>42729</v>
          </cell>
          <cell r="W23">
            <v>0</v>
          </cell>
          <cell r="X23" t="str">
            <v>Weihnachtst.</v>
          </cell>
        </row>
        <row r="24">
          <cell r="V24">
            <v>42730</v>
          </cell>
          <cell r="W24">
            <v>0</v>
          </cell>
          <cell r="X24" t="str">
            <v>Stephanstag</v>
          </cell>
        </row>
        <row r="25">
          <cell r="V25">
            <v>42735</v>
          </cell>
          <cell r="X25" t="str">
            <v>Silvester</v>
          </cell>
        </row>
        <row r="85">
          <cell r="V85">
            <v>42370</v>
          </cell>
          <cell r="W85">
            <v>0</v>
          </cell>
          <cell r="X85" t="str">
            <v>Neujahr</v>
          </cell>
        </row>
        <row r="86">
          <cell r="V86">
            <v>42371</v>
          </cell>
          <cell r="W86">
            <v>0</v>
          </cell>
          <cell r="X86" t="str">
            <v>Berchtoldstag</v>
          </cell>
        </row>
        <row r="87">
          <cell r="V87">
            <v>42404</v>
          </cell>
          <cell r="W87">
            <v>4.2</v>
          </cell>
          <cell r="X87" t="str">
            <v>Schm. Do.</v>
          </cell>
        </row>
        <row r="88">
          <cell r="V88">
            <v>42408</v>
          </cell>
          <cell r="W88">
            <v>4.2</v>
          </cell>
          <cell r="X88" t="str">
            <v>Fas. Mo.</v>
          </cell>
        </row>
        <row r="89">
          <cell r="V89">
            <v>42454</v>
          </cell>
          <cell r="W89">
            <v>0</v>
          </cell>
          <cell r="X89" t="str">
            <v>Karfreitag</v>
          </cell>
        </row>
        <row r="90">
          <cell r="V90">
            <v>42457</v>
          </cell>
          <cell r="W90">
            <v>0</v>
          </cell>
          <cell r="X90" t="str">
            <v>Ostermontag</v>
          </cell>
        </row>
        <row r="91">
          <cell r="V91">
            <v>42495</v>
          </cell>
          <cell r="W91">
            <v>0</v>
          </cell>
          <cell r="X91" t="str">
            <v>Auffahrt</v>
          </cell>
        </row>
        <row r="92">
          <cell r="V92">
            <v>42506</v>
          </cell>
          <cell r="W92">
            <v>0</v>
          </cell>
          <cell r="X92" t="str">
            <v>Pfingstmontag</v>
          </cell>
        </row>
        <row r="93">
          <cell r="V93">
            <v>42516</v>
          </cell>
          <cell r="W93">
            <v>0</v>
          </cell>
          <cell r="X93" t="str">
            <v>Fronleich.</v>
          </cell>
        </row>
        <row r="94">
          <cell r="V94">
            <v>42583</v>
          </cell>
          <cell r="W94">
            <v>0</v>
          </cell>
          <cell r="X94" t="str">
            <v>Nat. Feiertag</v>
          </cell>
        </row>
        <row r="95">
          <cell r="V95">
            <v>42597</v>
          </cell>
          <cell r="W95">
            <v>0</v>
          </cell>
          <cell r="X95" t="str">
            <v>Maria Hmf.</v>
          </cell>
        </row>
        <row r="96">
          <cell r="V96">
            <v>42675</v>
          </cell>
          <cell r="W96">
            <v>0</v>
          </cell>
          <cell r="X96" t="str">
            <v>Allerheiligen</v>
          </cell>
        </row>
        <row r="97">
          <cell r="V97">
            <v>42712</v>
          </cell>
          <cell r="W97">
            <v>0</v>
          </cell>
          <cell r="X97" t="str">
            <v>Mariä Empf.</v>
          </cell>
        </row>
        <row r="98">
          <cell r="V98">
            <v>42728</v>
          </cell>
          <cell r="W98">
            <v>0</v>
          </cell>
          <cell r="X98" t="str">
            <v>Hl. Abend</v>
          </cell>
        </row>
        <row r="99">
          <cell r="V99">
            <v>42729</v>
          </cell>
          <cell r="W99">
            <v>0</v>
          </cell>
          <cell r="X99" t="str">
            <v>Weihnachtst.</v>
          </cell>
        </row>
        <row r="100">
          <cell r="V100">
            <v>42730</v>
          </cell>
          <cell r="W100">
            <v>0</v>
          </cell>
          <cell r="X100" t="str">
            <v>Stephanstag</v>
          </cell>
        </row>
        <row r="101">
          <cell r="V101">
            <v>42735</v>
          </cell>
          <cell r="W101">
            <v>0</v>
          </cell>
          <cell r="X101" t="str">
            <v>Silvester</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U51"/>
  <sheetViews>
    <sheetView showGridLines="0" tabSelected="1" view="pageBreakPreview" zoomScale="120" zoomScaleNormal="85" zoomScaleSheetLayoutView="120" workbookViewId="0">
      <selection activeCell="J4" sqref="J4:K4"/>
    </sheetView>
  </sheetViews>
  <sheetFormatPr baseColWidth="10" defaultColWidth="11" defaultRowHeight="13.8" x14ac:dyDescent="0.25"/>
  <cols>
    <col min="1" max="2" width="3.09765625" style="2" customWidth="1"/>
    <col min="3" max="3" width="2.3984375" style="2" customWidth="1"/>
    <col min="4" max="6" width="3.09765625" style="2" customWidth="1"/>
    <col min="7" max="7" width="2.59765625" style="2" customWidth="1"/>
    <col min="8" max="8" width="2.19921875" style="2" customWidth="1"/>
    <col min="9" max="9" width="4.59765625" style="2" customWidth="1"/>
    <col min="10" max="10" width="5.8984375" style="2" customWidth="1"/>
    <col min="11" max="11" width="4.19921875" style="2" customWidth="1"/>
    <col min="12" max="17" width="3.09765625" style="2" customWidth="1"/>
    <col min="18" max="18" width="3.8984375" style="2" customWidth="1"/>
    <col min="19" max="20" width="3.09765625" style="2" customWidth="1"/>
    <col min="21" max="21" width="2.5" style="2" customWidth="1"/>
    <col min="22" max="24" width="3.09765625" style="2" customWidth="1"/>
    <col min="25" max="25" width="3.69921875" style="2" customWidth="1"/>
    <col min="26" max="26" width="6.19921875" style="2" customWidth="1"/>
    <col min="27" max="27" width="2.69921875" style="3" customWidth="1"/>
    <col min="28" max="28" width="11" style="4" customWidth="1"/>
    <col min="29" max="29" width="11.19921875" style="4" customWidth="1"/>
    <col min="30" max="30" width="12.69921875" style="4" hidden="1" customWidth="1"/>
    <col min="31" max="35" width="11.19921875" style="5" hidden="1" customWidth="1"/>
    <col min="36" max="37" width="6.09765625" style="4" hidden="1" customWidth="1"/>
    <col min="38" max="39" width="7" style="4" hidden="1" customWidth="1"/>
    <col min="40" max="41" width="5.5" style="4" hidden="1" customWidth="1"/>
    <col min="42" max="42" width="5.5" style="6" hidden="1" customWidth="1"/>
    <col min="43" max="44" width="5.5" style="4" hidden="1" customWidth="1"/>
    <col min="45" max="45" width="11" style="4" hidden="1" customWidth="1"/>
    <col min="46" max="16384" width="11" style="4"/>
  </cols>
  <sheetData>
    <row r="1" spans="1:42" ht="17.399999999999999" x14ac:dyDescent="0.3">
      <c r="A1" s="1" t="s">
        <v>84</v>
      </c>
      <c r="R1" s="153"/>
    </row>
    <row r="2" spans="1:42" ht="14.25" customHeight="1" x14ac:dyDescent="0.25">
      <c r="D2" s="169" t="str">
        <f ca="1">IF(T41&gt;J10,"Kürzung grösser als Ferienanspruch",IF(AND(Q4&lt;J4,Q4&lt;&gt;""),"Bitte Ein-/Austritt prüfen",IF(ISNA(MATCH("!",$AD$19:$AD$33,0)),"","Bitte die Reihenfolge der Abwesenheiten korrigieren")))</f>
        <v/>
      </c>
      <c r="E2" s="169"/>
      <c r="F2" s="169"/>
      <c r="G2" s="169"/>
      <c r="H2" s="169"/>
      <c r="I2" s="169"/>
      <c r="J2" s="169"/>
      <c r="K2" s="169"/>
      <c r="L2" s="169"/>
      <c r="M2" s="169"/>
      <c r="N2" s="169"/>
      <c r="O2" s="169"/>
      <c r="P2" s="169"/>
      <c r="Q2" s="169"/>
      <c r="R2" s="169"/>
      <c r="S2" s="169"/>
      <c r="T2" s="169"/>
    </row>
    <row r="3" spans="1:42" x14ac:dyDescent="0.25">
      <c r="A3" s="7"/>
    </row>
    <row r="4" spans="1:42" ht="21" customHeight="1" x14ac:dyDescent="0.25">
      <c r="A4" s="206" t="s">
        <v>5</v>
      </c>
      <c r="B4" s="206"/>
      <c r="C4" s="207"/>
      <c r="D4" s="196">
        <f>SollAZ!T1</f>
        <v>2024</v>
      </c>
      <c r="E4" s="196"/>
      <c r="F4" s="196"/>
      <c r="G4" s="8"/>
      <c r="H4" s="204" t="s">
        <v>60</v>
      </c>
      <c r="I4" s="205"/>
      <c r="J4" s="170"/>
      <c r="K4" s="171"/>
      <c r="L4" s="8"/>
      <c r="M4" s="8"/>
      <c r="N4" s="204" t="s">
        <v>61</v>
      </c>
      <c r="O4" s="204"/>
      <c r="P4" s="205"/>
      <c r="Q4" s="170"/>
      <c r="R4" s="172"/>
      <c r="S4" s="172"/>
      <c r="T4" s="171"/>
      <c r="U4" s="8"/>
      <c r="V4" s="197" t="s">
        <v>68</v>
      </c>
      <c r="W4" s="197"/>
      <c r="X4" s="197"/>
      <c r="Y4" s="198"/>
      <c r="Z4" s="47" t="s">
        <v>74</v>
      </c>
      <c r="AA4" s="9"/>
    </row>
    <row r="5" spans="1:42" ht="6" customHeight="1" x14ac:dyDescent="0.25">
      <c r="A5" s="10"/>
      <c r="B5" s="10"/>
      <c r="C5" s="10"/>
      <c r="D5" s="10"/>
      <c r="E5" s="10"/>
      <c r="F5" s="10"/>
      <c r="G5" s="10"/>
      <c r="H5" s="10"/>
      <c r="I5" s="10"/>
      <c r="J5" s="10"/>
      <c r="K5" s="10"/>
      <c r="L5" s="10"/>
      <c r="M5" s="10"/>
      <c r="N5" s="10"/>
      <c r="O5" s="10"/>
      <c r="P5" s="10"/>
      <c r="Q5" s="10"/>
      <c r="R5" s="10"/>
      <c r="S5" s="10"/>
      <c r="T5" s="10"/>
      <c r="U5" s="10"/>
      <c r="V5" s="11"/>
      <c r="W5" s="11"/>
      <c r="X5" s="11"/>
      <c r="Y5" s="11"/>
      <c r="Z5" s="12"/>
      <c r="AA5" s="9"/>
    </row>
    <row r="6" spans="1:42" s="15" customFormat="1" ht="21" customHeight="1" x14ac:dyDescent="0.25">
      <c r="A6" s="206" t="s">
        <v>0</v>
      </c>
      <c r="B6" s="206"/>
      <c r="C6" s="207"/>
      <c r="D6" s="186"/>
      <c r="E6" s="172"/>
      <c r="F6" s="172"/>
      <c r="G6" s="172"/>
      <c r="H6" s="172"/>
      <c r="I6" s="172"/>
      <c r="J6" s="172"/>
      <c r="K6" s="171"/>
      <c r="L6" s="13"/>
      <c r="M6" s="10"/>
      <c r="N6" s="197" t="s">
        <v>2</v>
      </c>
      <c r="O6" s="197"/>
      <c r="P6" s="198"/>
      <c r="Q6" s="186"/>
      <c r="R6" s="172"/>
      <c r="S6" s="172"/>
      <c r="T6" s="171"/>
      <c r="U6" s="10"/>
      <c r="V6" s="197" t="s">
        <v>59</v>
      </c>
      <c r="W6" s="197"/>
      <c r="X6" s="197"/>
      <c r="Y6" s="198"/>
      <c r="Z6" s="47">
        <v>100</v>
      </c>
      <c r="AA6" s="14"/>
      <c r="AB6" s="4"/>
      <c r="AE6" s="16"/>
      <c r="AF6" s="16"/>
      <c r="AG6" s="16"/>
      <c r="AH6" s="16"/>
      <c r="AI6" s="16"/>
      <c r="AP6" s="17"/>
    </row>
    <row r="7" spans="1:42" ht="6.6" customHeight="1" x14ac:dyDescent="0.25">
      <c r="A7" s="10"/>
      <c r="B7" s="10"/>
      <c r="C7" s="10"/>
      <c r="D7" s="10"/>
      <c r="E7" s="10"/>
      <c r="F7" s="10"/>
      <c r="G7" s="10"/>
      <c r="H7" s="10"/>
      <c r="I7" s="10"/>
      <c r="J7" s="10"/>
      <c r="K7" s="10"/>
      <c r="L7" s="10"/>
      <c r="M7" s="10"/>
      <c r="N7" s="10"/>
      <c r="O7" s="10"/>
      <c r="P7" s="10"/>
      <c r="Q7" s="10"/>
      <c r="R7" s="10"/>
      <c r="S7" s="10"/>
      <c r="T7" s="10"/>
      <c r="U7" s="10"/>
      <c r="V7" s="11"/>
      <c r="W7" s="11"/>
      <c r="X7" s="11"/>
      <c r="Y7" s="11"/>
      <c r="Z7" s="10"/>
      <c r="AA7" s="9"/>
    </row>
    <row r="8" spans="1:42" s="15" customFormat="1" ht="21" customHeight="1" x14ac:dyDescent="0.25">
      <c r="A8" s="13" t="s">
        <v>1</v>
      </c>
      <c r="B8" s="10"/>
      <c r="C8" s="10"/>
      <c r="D8" s="186"/>
      <c r="E8" s="172"/>
      <c r="F8" s="172"/>
      <c r="G8" s="172"/>
      <c r="H8" s="172"/>
      <c r="I8" s="172"/>
      <c r="J8" s="172"/>
      <c r="K8" s="171"/>
      <c r="L8" s="10"/>
      <c r="M8" s="10"/>
      <c r="N8" s="197" t="s">
        <v>4</v>
      </c>
      <c r="O8" s="197"/>
      <c r="P8" s="198"/>
      <c r="Q8" s="186"/>
      <c r="R8" s="172"/>
      <c r="S8" s="172"/>
      <c r="T8" s="171"/>
      <c r="U8" s="10"/>
      <c r="V8" s="197" t="s">
        <v>3</v>
      </c>
      <c r="W8" s="197"/>
      <c r="X8" s="197"/>
      <c r="Y8" s="198"/>
      <c r="Z8" s="18">
        <f>IF(Q8&gt;0,D4-Q8,0)</f>
        <v>0</v>
      </c>
      <c r="AA8" s="19"/>
      <c r="AB8" s="4"/>
      <c r="AE8" s="16"/>
      <c r="AF8" s="16"/>
      <c r="AG8" s="16"/>
      <c r="AH8" s="16"/>
      <c r="AI8" s="16"/>
      <c r="AP8" s="17"/>
    </row>
    <row r="9" spans="1:42" ht="6.6" customHeigh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9"/>
    </row>
    <row r="10" spans="1:42" s="15" customFormat="1" ht="21" customHeight="1" x14ac:dyDescent="0.25">
      <c r="A10" s="164" t="s">
        <v>78</v>
      </c>
      <c r="B10" s="164"/>
      <c r="C10" s="164"/>
      <c r="D10" s="164"/>
      <c r="E10" s="164"/>
      <c r="F10" s="164"/>
      <c r="G10" s="164"/>
      <c r="H10" s="164"/>
      <c r="I10" s="165"/>
      <c r="J10" s="199">
        <f>IF(Z4="Ja",28,VLOOKUP(Z8,FAnspr!A:C,3,TRUE))</f>
        <v>0</v>
      </c>
      <c r="K10" s="200"/>
      <c r="L10" s="195" t="s">
        <v>12</v>
      </c>
      <c r="M10" s="195"/>
      <c r="N10" s="202" t="s">
        <v>72</v>
      </c>
      <c r="O10" s="202"/>
      <c r="P10" s="202"/>
      <c r="Q10" s="202"/>
      <c r="R10" s="202"/>
      <c r="S10" s="202"/>
      <c r="T10" s="202"/>
      <c r="U10" s="202"/>
      <c r="V10" s="202"/>
      <c r="W10" s="202"/>
      <c r="X10" s="202"/>
      <c r="Y10" s="203"/>
      <c r="Z10" s="48">
        <v>0</v>
      </c>
      <c r="AA10" s="9"/>
      <c r="AB10" s="4"/>
      <c r="AC10" s="16"/>
      <c r="AD10" s="16"/>
      <c r="AE10" s="16"/>
      <c r="AF10" s="16"/>
      <c r="AG10" s="16"/>
      <c r="AH10" s="16"/>
      <c r="AI10" s="16"/>
      <c r="AP10" s="17"/>
    </row>
    <row r="11" spans="1:42" ht="6.6" customHeight="1" x14ac:dyDescent="0.25">
      <c r="A11" s="10"/>
      <c r="B11" s="10"/>
      <c r="C11" s="10"/>
      <c r="D11" s="10"/>
      <c r="E11" s="10"/>
      <c r="F11" s="10"/>
      <c r="G11" s="10"/>
      <c r="H11" s="10"/>
      <c r="I11" s="10"/>
      <c r="J11" s="10"/>
      <c r="K11" s="10"/>
      <c r="L11" s="10"/>
      <c r="M11" s="10"/>
      <c r="N11" s="10"/>
      <c r="O11" s="10"/>
      <c r="P11" s="10"/>
      <c r="R11" s="20"/>
      <c r="S11" s="20"/>
      <c r="T11" s="21"/>
      <c r="U11" s="22"/>
      <c r="V11" s="22"/>
      <c r="W11" s="10"/>
      <c r="X11" s="10"/>
      <c r="Y11" s="10"/>
      <c r="Z11" s="10"/>
      <c r="AA11" s="9"/>
    </row>
    <row r="12" spans="1:42" s="15" customFormat="1" ht="21" customHeight="1" x14ac:dyDescent="0.25">
      <c r="A12" s="164" t="s">
        <v>77</v>
      </c>
      <c r="B12" s="164"/>
      <c r="C12" s="164"/>
      <c r="D12" s="164"/>
      <c r="E12" s="164"/>
      <c r="F12" s="164"/>
      <c r="G12" s="164"/>
      <c r="H12" s="164"/>
      <c r="I12" s="165"/>
      <c r="J12" s="201">
        <f>SUM(Calc!E2:E373)/(SollAZ!$E$2/5)</f>
        <v>249.50000000000108</v>
      </c>
      <c r="K12" s="187"/>
      <c r="L12" s="195" t="s">
        <v>12</v>
      </c>
      <c r="M12" s="195"/>
      <c r="N12" s="197" t="s">
        <v>75</v>
      </c>
      <c r="O12" s="197"/>
      <c r="P12" s="197"/>
      <c r="Q12" s="197"/>
      <c r="R12" s="197"/>
      <c r="S12" s="197"/>
      <c r="T12" s="197"/>
      <c r="U12" s="197"/>
      <c r="V12" s="197"/>
      <c r="W12" s="197"/>
      <c r="X12" s="197"/>
      <c r="Y12" s="197"/>
      <c r="Z12" s="48" t="s">
        <v>81</v>
      </c>
      <c r="AA12" s="9"/>
      <c r="AB12" s="4"/>
      <c r="AC12" s="23"/>
      <c r="AD12" s="23"/>
      <c r="AE12" s="16"/>
      <c r="AF12" s="16"/>
      <c r="AG12" s="16"/>
      <c r="AH12" s="16"/>
      <c r="AI12" s="16"/>
      <c r="AP12" s="17"/>
    </row>
    <row r="13" spans="1:42" s="15" customFormat="1" ht="3.75" customHeight="1" x14ac:dyDescent="0.25">
      <c r="A13" s="13"/>
      <c r="B13" s="10"/>
      <c r="C13" s="10"/>
      <c r="D13" s="10"/>
      <c r="R13" s="24"/>
      <c r="S13" s="20"/>
      <c r="T13" s="20"/>
      <c r="U13" s="25"/>
      <c r="V13" s="25"/>
      <c r="W13" s="10"/>
      <c r="X13" s="10"/>
      <c r="Y13" s="10"/>
      <c r="Z13" s="10"/>
      <c r="AA13" s="9"/>
      <c r="AB13" s="4"/>
      <c r="AC13" s="23"/>
      <c r="AD13" s="23"/>
      <c r="AE13" s="16"/>
      <c r="AF13" s="16"/>
      <c r="AG13" s="16"/>
      <c r="AH13" s="16"/>
      <c r="AI13" s="16"/>
      <c r="AP13" s="17"/>
    </row>
    <row r="14" spans="1:42" s="15" customFormat="1" x14ac:dyDescent="0.25">
      <c r="A14" s="194" t="s">
        <v>44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9"/>
      <c r="AB14" s="4"/>
      <c r="AC14" s="23"/>
      <c r="AE14" s="16"/>
      <c r="AF14" s="16"/>
      <c r="AG14" s="16"/>
      <c r="AH14" s="16"/>
      <c r="AI14" s="16"/>
      <c r="AP14" s="17"/>
    </row>
    <row r="15" spans="1:42" s="15" customFormat="1" ht="85.5" customHeight="1" x14ac:dyDescent="0.25">
      <c r="A15" s="173" t="s">
        <v>79</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26"/>
      <c r="AB15" s="4"/>
      <c r="AC15" s="192"/>
      <c r="AD15" s="193"/>
      <c r="AE15" s="193"/>
      <c r="AF15" s="193"/>
      <c r="AG15" s="192"/>
      <c r="AH15" s="192"/>
      <c r="AI15" s="192"/>
      <c r="AJ15" s="192"/>
      <c r="AK15" s="192"/>
      <c r="AP15" s="17"/>
    </row>
    <row r="16" spans="1:42" s="15" customFormat="1" ht="7.5"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9"/>
      <c r="AB16" s="4"/>
      <c r="AE16" s="16"/>
      <c r="AF16" s="16"/>
      <c r="AG16" s="16"/>
      <c r="AH16" s="16"/>
      <c r="AI16" s="16"/>
      <c r="AP16" s="17"/>
    </row>
    <row r="17" spans="1:47" s="15" customFormat="1" ht="19.95" customHeight="1" x14ac:dyDescent="0.25">
      <c r="A17" s="246" t="s">
        <v>62</v>
      </c>
      <c r="B17" s="246"/>
      <c r="C17" s="246"/>
      <c r="D17" s="246"/>
      <c r="E17" s="246"/>
      <c r="F17" s="246"/>
      <c r="G17" s="246"/>
      <c r="H17" s="247"/>
      <c r="I17" s="160" t="s">
        <v>48</v>
      </c>
      <c r="J17" s="161"/>
      <c r="K17" s="162"/>
      <c r="L17" s="228" t="s">
        <v>9</v>
      </c>
      <c r="M17" s="228"/>
      <c r="N17" s="228"/>
      <c r="O17" s="229"/>
      <c r="P17" s="232" t="s">
        <v>63</v>
      </c>
      <c r="Q17" s="233"/>
      <c r="R17" s="233"/>
      <c r="S17" s="234"/>
      <c r="T17" s="238" t="s">
        <v>15</v>
      </c>
      <c r="U17" s="228"/>
      <c r="V17" s="228"/>
      <c r="W17" s="229"/>
      <c r="X17" s="240" t="s">
        <v>10</v>
      </c>
      <c r="Y17" s="241"/>
      <c r="Z17" s="241"/>
      <c r="AA17" s="241"/>
      <c r="AB17" s="241"/>
      <c r="AC17" s="242"/>
      <c r="AD17" s="27"/>
      <c r="AE17" s="4"/>
      <c r="AF17" s="28">
        <f>DATE(D4,1,1)</f>
        <v>45292</v>
      </c>
      <c r="AG17" s="28">
        <f>DATE(D4,12,31)</f>
        <v>45657</v>
      </c>
      <c r="AH17" s="16"/>
      <c r="AI17" s="16"/>
      <c r="AJ17" s="16"/>
      <c r="AK17" s="16"/>
      <c r="AL17" s="29"/>
      <c r="AS17" s="17"/>
    </row>
    <row r="18" spans="1:47" s="15" customFormat="1" ht="19.95" customHeight="1" x14ac:dyDescent="0.25">
      <c r="A18" s="227" t="s">
        <v>7</v>
      </c>
      <c r="B18" s="227"/>
      <c r="C18" s="227"/>
      <c r="D18" s="227"/>
      <c r="E18" s="227" t="s">
        <v>8</v>
      </c>
      <c r="F18" s="227"/>
      <c r="G18" s="227"/>
      <c r="H18" s="248"/>
      <c r="I18" s="156" t="s">
        <v>57</v>
      </c>
      <c r="J18" s="155" t="s">
        <v>58</v>
      </c>
      <c r="K18" s="158" t="s">
        <v>82</v>
      </c>
      <c r="L18" s="230"/>
      <c r="M18" s="230"/>
      <c r="N18" s="230"/>
      <c r="O18" s="231"/>
      <c r="P18" s="235"/>
      <c r="Q18" s="236"/>
      <c r="R18" s="236"/>
      <c r="S18" s="237"/>
      <c r="T18" s="239"/>
      <c r="U18" s="230"/>
      <c r="V18" s="230"/>
      <c r="W18" s="231"/>
      <c r="X18" s="243"/>
      <c r="Y18" s="244"/>
      <c r="Z18" s="244"/>
      <c r="AA18" s="244"/>
      <c r="AB18" s="244"/>
      <c r="AC18" s="245"/>
      <c r="AD18" s="27"/>
      <c r="AE18" s="4"/>
      <c r="AF18" s="30" t="s">
        <v>7</v>
      </c>
      <c r="AG18" s="30" t="s">
        <v>8</v>
      </c>
      <c r="AH18" s="31" t="s">
        <v>33</v>
      </c>
      <c r="AI18" s="31" t="s">
        <v>34</v>
      </c>
      <c r="AJ18" s="31" t="s">
        <v>35</v>
      </c>
      <c r="AK18" s="31" t="s">
        <v>36</v>
      </c>
      <c r="AL18" s="32" t="s">
        <v>12</v>
      </c>
      <c r="AM18" s="16" t="s">
        <v>40</v>
      </c>
      <c r="AN18" s="16" t="s">
        <v>40</v>
      </c>
      <c r="AO18" s="16" t="s">
        <v>41</v>
      </c>
      <c r="AP18" s="16" t="s">
        <v>41</v>
      </c>
      <c r="AQ18" s="16" t="s">
        <v>43</v>
      </c>
      <c r="AR18" s="16" t="s">
        <v>42</v>
      </c>
      <c r="AS18" s="17"/>
      <c r="AT18" s="16"/>
      <c r="AU18" s="16"/>
    </row>
    <row r="19" spans="1:47" s="15" customFormat="1" ht="18.600000000000001" customHeight="1" x14ac:dyDescent="0.25">
      <c r="A19" s="170"/>
      <c r="B19" s="182"/>
      <c r="C19" s="182"/>
      <c r="D19" s="183"/>
      <c r="E19" s="184"/>
      <c r="F19" s="185"/>
      <c r="G19" s="185"/>
      <c r="H19" s="186"/>
      <c r="I19" s="157"/>
      <c r="J19" s="154"/>
      <c r="K19" s="159"/>
      <c r="L19" s="187" t="str">
        <f ca="1">IF(AND(J19&lt;&gt;"",I19=""),"Stunden eingeben",IF(I19="",IFERROR(AL19,""),(I19/((SollAZ!$E$2/5)*J19/100))/K19*42))</f>
        <v/>
      </c>
      <c r="M19" s="188"/>
      <c r="N19" s="188"/>
      <c r="O19" s="188"/>
      <c r="P19" s="189"/>
      <c r="Q19" s="189"/>
      <c r="R19" s="189"/>
      <c r="S19" s="189"/>
      <c r="T19" s="190" t="str">
        <f t="shared" ref="T19:T33" ca="1" si="0">IF(AND(I19&lt;&gt;"",J19&lt;&gt;""),L19,IFERROR(L19*P19/100,""))</f>
        <v/>
      </c>
      <c r="U19" s="190"/>
      <c r="V19" s="190"/>
      <c r="W19" s="190"/>
      <c r="X19" s="178"/>
      <c r="Y19" s="178"/>
      <c r="Z19" s="178"/>
      <c r="AA19" s="178"/>
      <c r="AB19" s="178"/>
      <c r="AC19" s="178"/>
      <c r="AD19" s="33" t="str">
        <f>IF($AS19&lt;&gt;"00","!","")</f>
        <v/>
      </c>
      <c r="AF19" s="34" t="str">
        <f>IF(Berechnung!A19&lt;&gt;"",Berechnung!A19,"")</f>
        <v/>
      </c>
      <c r="AG19" s="34" t="str">
        <f>IF(Berechnung!E19&lt;&gt;"",Berechnung!E19,"")</f>
        <v/>
      </c>
      <c r="AH19" s="5" t="str">
        <f>IF(ISNUMBER(AF19),VLOOKUP(AF19,Calc!$C:$D,2,FALSE),"")</f>
        <v/>
      </c>
      <c r="AI19" s="5" t="str">
        <f>IF(ISNUMBER(AG19),VLOOKUP(AG19,Calc!$C:$D,2,FALSE),"")</f>
        <v/>
      </c>
      <c r="AJ19" s="5" t="e">
        <f>AI19-AH19+1</f>
        <v>#VALUE!</v>
      </c>
      <c r="AK19" s="5" t="e">
        <f ca="1">SUM(OFFSET(Calc!E$1,AH19,0,AJ19,1))</f>
        <v>#VALUE!</v>
      </c>
      <c r="AL19" s="35" t="e">
        <f ca="1">AK19/(SollAZ!$E$2/5)</f>
        <v>#VALUE!</v>
      </c>
      <c r="AM19" s="36" t="str">
        <f t="shared" ref="AM19:AM33" si="1">IF(AF19&lt;&gt;"",RANK(AF19,$AF$19:$AG$33,1),"")</f>
        <v/>
      </c>
      <c r="AN19" s="36" t="str">
        <f t="shared" ref="AN19:AN33" si="2">IF(AG19&lt;&gt;"",RANK(AG19,$AF$19:$AG$33,1),"")</f>
        <v/>
      </c>
      <c r="AO19" s="36" t="str">
        <f>IF(AF19&lt;&gt;"",1,"")</f>
        <v/>
      </c>
      <c r="AP19" s="36" t="str">
        <f>IF(AG19&lt;&gt;"",IF(AF19=AG19,AO19,AO19+1),"")</f>
        <v/>
      </c>
      <c r="AQ19" s="36">
        <f t="shared" ref="AQ19:AQ33" si="3">IF(AF19&lt;&gt;"",AM19-AO19,0)</f>
        <v>0</v>
      </c>
      <c r="AR19" s="36">
        <f t="shared" ref="AR19:AR33" si="4">IF(AG19&lt;&gt;"",AN19-AP19,0)</f>
        <v>0</v>
      </c>
      <c r="AS19" s="6" t="str">
        <f>AQ19&amp;AR19</f>
        <v>00</v>
      </c>
    </row>
    <row r="20" spans="1:47" s="15" customFormat="1" ht="18.600000000000001" customHeight="1" x14ac:dyDescent="0.25">
      <c r="A20" s="170"/>
      <c r="B20" s="182"/>
      <c r="C20" s="182"/>
      <c r="D20" s="183"/>
      <c r="E20" s="184"/>
      <c r="F20" s="185"/>
      <c r="G20" s="185"/>
      <c r="H20" s="186"/>
      <c r="I20" s="157"/>
      <c r="J20" s="154"/>
      <c r="K20" s="159"/>
      <c r="L20" s="187" t="str">
        <f ca="1">IF(AND(J20&lt;&gt;"",I20=""),"Stunden eingeben",IF(I20="",IFERROR(AL20,""),(I20/((SollAZ!$E$2/5)*J20/100))/K20*42))</f>
        <v/>
      </c>
      <c r="M20" s="188"/>
      <c r="N20" s="188"/>
      <c r="O20" s="188"/>
      <c r="P20" s="189"/>
      <c r="Q20" s="189"/>
      <c r="R20" s="189"/>
      <c r="S20" s="189"/>
      <c r="T20" s="190" t="str">
        <f t="shared" ca="1" si="0"/>
        <v/>
      </c>
      <c r="U20" s="190"/>
      <c r="V20" s="190"/>
      <c r="W20" s="190"/>
      <c r="X20" s="178"/>
      <c r="Y20" s="178"/>
      <c r="Z20" s="178"/>
      <c r="AA20" s="178"/>
      <c r="AB20" s="178"/>
      <c r="AC20" s="178"/>
      <c r="AD20" s="33" t="str">
        <f t="shared" ref="AD20:AD33" si="5">IF($AS20&lt;&gt;"00","!","")</f>
        <v/>
      </c>
      <c r="AF20" s="34" t="str">
        <f>IF(Berechnung!A20&lt;&gt;"",Berechnung!A20,"")</f>
        <v/>
      </c>
      <c r="AG20" s="34" t="str">
        <f>IF(Berechnung!E20&lt;&gt;"",Berechnung!E20,"")</f>
        <v/>
      </c>
      <c r="AH20" s="5" t="str">
        <f>IF(ISNUMBER(AF20),VLOOKUP(AF20,Calc!$C:$D,2,FALSE),"")</f>
        <v/>
      </c>
      <c r="AI20" s="5" t="str">
        <f>IF(ISNUMBER(AG20),VLOOKUP(AG20,Calc!$C:$D,2,FALSE),"")</f>
        <v/>
      </c>
      <c r="AJ20" s="5" t="e">
        <f t="shared" ref="AJ20:AJ33" si="6">AI20-AH20+1</f>
        <v>#VALUE!</v>
      </c>
      <c r="AK20" s="5" t="e">
        <f ca="1">SUM(OFFSET(Calc!E$1,AH20,0,AJ20,1))</f>
        <v>#VALUE!</v>
      </c>
      <c r="AL20" s="35" t="e">
        <f ca="1">AK20/(SollAZ!$E$2/5)</f>
        <v>#VALUE!</v>
      </c>
      <c r="AM20" s="36" t="str">
        <f t="shared" si="1"/>
        <v/>
      </c>
      <c r="AN20" s="36" t="str">
        <f t="shared" si="2"/>
        <v/>
      </c>
      <c r="AO20" s="36" t="str">
        <f t="shared" ref="AO20:AO33" si="7">IF(AF20&lt;&gt;"",AO19+2,"")</f>
        <v/>
      </c>
      <c r="AP20" s="36" t="str">
        <f>IF(AG20&lt;&gt;"",IF(AF20=AG20,AO20,AO20+1),"")</f>
        <v/>
      </c>
      <c r="AQ20" s="36">
        <f t="shared" si="3"/>
        <v>0</v>
      </c>
      <c r="AR20" s="36">
        <f t="shared" si="4"/>
        <v>0</v>
      </c>
      <c r="AS20" s="6" t="str">
        <f t="shared" ref="AS20:AS33" si="8">AQ20&amp;AR20</f>
        <v>00</v>
      </c>
    </row>
    <row r="21" spans="1:47" s="15" customFormat="1" ht="18.600000000000001" customHeight="1" x14ac:dyDescent="0.25">
      <c r="A21" s="170"/>
      <c r="B21" s="182"/>
      <c r="C21" s="182"/>
      <c r="D21" s="183"/>
      <c r="E21" s="184"/>
      <c r="F21" s="185"/>
      <c r="G21" s="185"/>
      <c r="H21" s="186"/>
      <c r="I21" s="157"/>
      <c r="J21" s="154"/>
      <c r="K21" s="159"/>
      <c r="L21" s="187" t="str">
        <f ca="1">IF(AND(J21&lt;&gt;"",I21=""),"Stunden eingeben",IF(I21="",IFERROR(AL21,""),(I21/((SollAZ!$E$2/5)*J21/100))/K21*42))</f>
        <v/>
      </c>
      <c r="M21" s="188"/>
      <c r="N21" s="188"/>
      <c r="O21" s="188"/>
      <c r="P21" s="189"/>
      <c r="Q21" s="189"/>
      <c r="R21" s="189"/>
      <c r="S21" s="189"/>
      <c r="T21" s="190" t="str">
        <f t="shared" ca="1" si="0"/>
        <v/>
      </c>
      <c r="U21" s="190"/>
      <c r="V21" s="190"/>
      <c r="W21" s="190"/>
      <c r="X21" s="178"/>
      <c r="Y21" s="178"/>
      <c r="Z21" s="178"/>
      <c r="AA21" s="178"/>
      <c r="AB21" s="178"/>
      <c r="AC21" s="178"/>
      <c r="AD21" s="33" t="str">
        <f t="shared" si="5"/>
        <v/>
      </c>
      <c r="AF21" s="34" t="str">
        <f>IF(Berechnung!A21&lt;&gt;"",Berechnung!A21,"")</f>
        <v/>
      </c>
      <c r="AG21" s="34" t="str">
        <f>IF(Berechnung!E21&lt;&gt;"",Berechnung!E21,"")</f>
        <v/>
      </c>
      <c r="AH21" s="5" t="str">
        <f>IF(ISNUMBER(AF21),VLOOKUP(AF21,Calc!$C:$D,2,FALSE),"")</f>
        <v/>
      </c>
      <c r="AI21" s="5" t="str">
        <f>IF(ISNUMBER(AG21),VLOOKUP(AG21,Calc!$C:$D,2,FALSE),"")</f>
        <v/>
      </c>
      <c r="AJ21" s="5" t="e">
        <f t="shared" si="6"/>
        <v>#VALUE!</v>
      </c>
      <c r="AK21" s="5" t="e">
        <f ca="1">SUM(OFFSET(Calc!E$1,AH21,0,AJ21,1))</f>
        <v>#VALUE!</v>
      </c>
      <c r="AL21" s="35" t="e">
        <f ca="1">AK21/(SollAZ!$E$2/5)</f>
        <v>#VALUE!</v>
      </c>
      <c r="AM21" s="36" t="str">
        <f t="shared" si="1"/>
        <v/>
      </c>
      <c r="AN21" s="36" t="str">
        <f t="shared" si="2"/>
        <v/>
      </c>
      <c r="AO21" s="36" t="str">
        <f t="shared" si="7"/>
        <v/>
      </c>
      <c r="AP21" s="36" t="str">
        <f t="shared" ref="AP21:AP33" si="9">IF(AG21&lt;&gt;"",IF(AF21=AG21,AO21,AO21+1),"")</f>
        <v/>
      </c>
      <c r="AQ21" s="36">
        <f t="shared" si="3"/>
        <v>0</v>
      </c>
      <c r="AR21" s="36">
        <f t="shared" si="4"/>
        <v>0</v>
      </c>
      <c r="AS21" s="6" t="str">
        <f t="shared" si="8"/>
        <v>00</v>
      </c>
    </row>
    <row r="22" spans="1:47" s="15" customFormat="1" ht="18.600000000000001" customHeight="1" x14ac:dyDescent="0.25">
      <c r="A22" s="170"/>
      <c r="B22" s="182"/>
      <c r="C22" s="182"/>
      <c r="D22" s="183"/>
      <c r="E22" s="184"/>
      <c r="F22" s="185"/>
      <c r="G22" s="185"/>
      <c r="H22" s="186"/>
      <c r="I22" s="157"/>
      <c r="J22" s="154"/>
      <c r="K22" s="159"/>
      <c r="L22" s="187" t="str">
        <f ca="1">IF(AND(J22&lt;&gt;"",I22=""),"Stunden eingeben",IF(I22="",IFERROR(AL22,""),(I22/((SollAZ!$E$2/5)*J22/100))/K22*42))</f>
        <v/>
      </c>
      <c r="M22" s="188"/>
      <c r="N22" s="188"/>
      <c r="O22" s="188"/>
      <c r="P22" s="189"/>
      <c r="Q22" s="189"/>
      <c r="R22" s="189"/>
      <c r="S22" s="189"/>
      <c r="T22" s="190" t="str">
        <f t="shared" ca="1" si="0"/>
        <v/>
      </c>
      <c r="U22" s="190"/>
      <c r="V22" s="190"/>
      <c r="W22" s="190"/>
      <c r="X22" s="178"/>
      <c r="Y22" s="178"/>
      <c r="Z22" s="178"/>
      <c r="AA22" s="178"/>
      <c r="AB22" s="178"/>
      <c r="AC22" s="178"/>
      <c r="AD22" s="33" t="str">
        <f t="shared" si="5"/>
        <v/>
      </c>
      <c r="AF22" s="34" t="str">
        <f>IF(Berechnung!A22&lt;&gt;"",Berechnung!A22,"")</f>
        <v/>
      </c>
      <c r="AG22" s="34" t="str">
        <f>IF(Berechnung!E22&lt;&gt;"",Berechnung!E22,"")</f>
        <v/>
      </c>
      <c r="AH22" s="5" t="str">
        <f>IF(ISNUMBER(AF22),VLOOKUP(AF22,Calc!$C:$D,2,FALSE),"")</f>
        <v/>
      </c>
      <c r="AI22" s="5" t="str">
        <f>IF(ISNUMBER(AG22),VLOOKUP(AG22,Calc!$C:$D,2,FALSE),"")</f>
        <v/>
      </c>
      <c r="AJ22" s="5" t="e">
        <f t="shared" si="6"/>
        <v>#VALUE!</v>
      </c>
      <c r="AK22" s="5" t="e">
        <f ca="1">SUM(OFFSET(Calc!E$1,AH22,0,AJ22,1))</f>
        <v>#VALUE!</v>
      </c>
      <c r="AL22" s="35" t="e">
        <f ca="1">AK22/(SollAZ!$E$2/5)</f>
        <v>#VALUE!</v>
      </c>
      <c r="AM22" s="36" t="str">
        <f t="shared" si="1"/>
        <v/>
      </c>
      <c r="AN22" s="36" t="str">
        <f t="shared" si="2"/>
        <v/>
      </c>
      <c r="AO22" s="36" t="str">
        <f t="shared" si="7"/>
        <v/>
      </c>
      <c r="AP22" s="36" t="str">
        <f t="shared" si="9"/>
        <v/>
      </c>
      <c r="AQ22" s="36">
        <f t="shared" si="3"/>
        <v>0</v>
      </c>
      <c r="AR22" s="36">
        <f t="shared" si="4"/>
        <v>0</v>
      </c>
      <c r="AS22" s="6" t="str">
        <f t="shared" si="8"/>
        <v>00</v>
      </c>
    </row>
    <row r="23" spans="1:47" s="15" customFormat="1" ht="18.600000000000001" customHeight="1" x14ac:dyDescent="0.25">
      <c r="A23" s="170"/>
      <c r="B23" s="182"/>
      <c r="C23" s="182"/>
      <c r="D23" s="183"/>
      <c r="E23" s="184"/>
      <c r="F23" s="185"/>
      <c r="G23" s="185"/>
      <c r="H23" s="186"/>
      <c r="I23" s="157"/>
      <c r="J23" s="154"/>
      <c r="K23" s="159"/>
      <c r="L23" s="187" t="str">
        <f ca="1">IF(AND(J23&lt;&gt;"",I23=""),"Stunden eingeben",IF(I23="",IFERROR(AL23,""),(I23/((SollAZ!$E$2/5)*J23/100))/K23*42))</f>
        <v/>
      </c>
      <c r="M23" s="188"/>
      <c r="N23" s="188"/>
      <c r="O23" s="188"/>
      <c r="P23" s="189"/>
      <c r="Q23" s="189"/>
      <c r="R23" s="189"/>
      <c r="S23" s="189"/>
      <c r="T23" s="190" t="str">
        <f t="shared" ca="1" si="0"/>
        <v/>
      </c>
      <c r="U23" s="190"/>
      <c r="V23" s="190"/>
      <c r="W23" s="190"/>
      <c r="X23" s="178"/>
      <c r="Y23" s="178"/>
      <c r="Z23" s="178"/>
      <c r="AA23" s="178"/>
      <c r="AB23" s="178"/>
      <c r="AC23" s="178"/>
      <c r="AD23" s="33" t="str">
        <f t="shared" si="5"/>
        <v/>
      </c>
      <c r="AF23" s="34" t="str">
        <f>IF(Berechnung!A23&lt;&gt;"",Berechnung!A23,"")</f>
        <v/>
      </c>
      <c r="AG23" s="34" t="str">
        <f>IF(Berechnung!E23&lt;&gt;"",Berechnung!E23,"")</f>
        <v/>
      </c>
      <c r="AH23" s="5" t="str">
        <f>IF(ISNUMBER(AF23),VLOOKUP(AF23,Calc!$C:$D,2,FALSE),"")</f>
        <v/>
      </c>
      <c r="AI23" s="5" t="str">
        <f>IF(ISNUMBER(AG23),VLOOKUP(AG23,Calc!$C:$D,2,FALSE),"")</f>
        <v/>
      </c>
      <c r="AJ23" s="5" t="e">
        <f t="shared" si="6"/>
        <v>#VALUE!</v>
      </c>
      <c r="AK23" s="5" t="e">
        <f ca="1">SUM(OFFSET(Calc!E$1,AH23,0,AJ23,1))</f>
        <v>#VALUE!</v>
      </c>
      <c r="AL23" s="35" t="e">
        <f ca="1">AK23/(SollAZ!$E$2/5)</f>
        <v>#VALUE!</v>
      </c>
      <c r="AM23" s="36" t="str">
        <f t="shared" si="1"/>
        <v/>
      </c>
      <c r="AN23" s="36" t="str">
        <f t="shared" si="2"/>
        <v/>
      </c>
      <c r="AO23" s="36" t="str">
        <f t="shared" si="7"/>
        <v/>
      </c>
      <c r="AP23" s="36" t="str">
        <f t="shared" si="9"/>
        <v/>
      </c>
      <c r="AQ23" s="36">
        <f t="shared" si="3"/>
        <v>0</v>
      </c>
      <c r="AR23" s="36">
        <f t="shared" si="4"/>
        <v>0</v>
      </c>
      <c r="AS23" s="6" t="str">
        <f t="shared" si="8"/>
        <v>00</v>
      </c>
    </row>
    <row r="24" spans="1:47" s="15" customFormat="1" ht="18.600000000000001" customHeight="1" x14ac:dyDescent="0.25">
      <c r="A24" s="170"/>
      <c r="B24" s="182"/>
      <c r="C24" s="182"/>
      <c r="D24" s="183"/>
      <c r="E24" s="184"/>
      <c r="F24" s="185"/>
      <c r="G24" s="185"/>
      <c r="H24" s="186"/>
      <c r="I24" s="157"/>
      <c r="J24" s="154"/>
      <c r="K24" s="159"/>
      <c r="L24" s="187" t="str">
        <f ca="1">IF(AND(J24&lt;&gt;"",I24=""),"Stunden eingeben",IF(I24="",IFERROR(AL24,""),(I24/((SollAZ!$E$2/5)*J24/100))/K24*42))</f>
        <v/>
      </c>
      <c r="M24" s="188"/>
      <c r="N24" s="188"/>
      <c r="O24" s="188"/>
      <c r="P24" s="189"/>
      <c r="Q24" s="189"/>
      <c r="R24" s="189"/>
      <c r="S24" s="189"/>
      <c r="T24" s="190" t="str">
        <f t="shared" ca="1" si="0"/>
        <v/>
      </c>
      <c r="U24" s="190"/>
      <c r="V24" s="190"/>
      <c r="W24" s="190"/>
      <c r="X24" s="178"/>
      <c r="Y24" s="178"/>
      <c r="Z24" s="178"/>
      <c r="AA24" s="178"/>
      <c r="AB24" s="178"/>
      <c r="AC24" s="178"/>
      <c r="AD24" s="33" t="str">
        <f t="shared" si="5"/>
        <v/>
      </c>
      <c r="AF24" s="34" t="str">
        <f>IF(Berechnung!A24&lt;&gt;"",Berechnung!A24,"")</f>
        <v/>
      </c>
      <c r="AG24" s="34" t="str">
        <f>IF(Berechnung!E24&lt;&gt;"",Berechnung!E24,"")</f>
        <v/>
      </c>
      <c r="AH24" s="5" t="str">
        <f>IF(ISNUMBER(AF24),VLOOKUP(AF24,Calc!$C:$D,2,FALSE),"")</f>
        <v/>
      </c>
      <c r="AI24" s="5" t="str">
        <f>IF(ISNUMBER(AG24),VLOOKUP(AG24,Calc!$C:$D,2,FALSE),"")</f>
        <v/>
      </c>
      <c r="AJ24" s="5" t="e">
        <f t="shared" si="6"/>
        <v>#VALUE!</v>
      </c>
      <c r="AK24" s="5" t="e">
        <f ca="1">SUM(OFFSET(Calc!E$1,AH24,0,AJ24,1))</f>
        <v>#VALUE!</v>
      </c>
      <c r="AL24" s="35" t="e">
        <f ca="1">AK24/(SollAZ!$E$2/5)</f>
        <v>#VALUE!</v>
      </c>
      <c r="AM24" s="36" t="str">
        <f t="shared" si="1"/>
        <v/>
      </c>
      <c r="AN24" s="36" t="str">
        <f t="shared" si="2"/>
        <v/>
      </c>
      <c r="AO24" s="36" t="str">
        <f t="shared" si="7"/>
        <v/>
      </c>
      <c r="AP24" s="36" t="str">
        <f t="shared" si="9"/>
        <v/>
      </c>
      <c r="AQ24" s="36">
        <f t="shared" si="3"/>
        <v>0</v>
      </c>
      <c r="AR24" s="36">
        <f t="shared" si="4"/>
        <v>0</v>
      </c>
      <c r="AS24" s="6" t="str">
        <f t="shared" si="8"/>
        <v>00</v>
      </c>
    </row>
    <row r="25" spans="1:47" s="15" customFormat="1" ht="18.600000000000001" customHeight="1" x14ac:dyDescent="0.25">
      <c r="A25" s="170"/>
      <c r="B25" s="182"/>
      <c r="C25" s="182"/>
      <c r="D25" s="183"/>
      <c r="E25" s="184"/>
      <c r="F25" s="185"/>
      <c r="G25" s="185"/>
      <c r="H25" s="186"/>
      <c r="I25" s="157"/>
      <c r="J25" s="154"/>
      <c r="K25" s="159"/>
      <c r="L25" s="187" t="str">
        <f ca="1">IF(AND(J25&lt;&gt;"",I25=""),"Stunden eingeben",IF(I25="",IFERROR(AL25,""),(I25/((SollAZ!$E$2/5)*J25/100))/K25*42))</f>
        <v/>
      </c>
      <c r="M25" s="188"/>
      <c r="N25" s="188"/>
      <c r="O25" s="188"/>
      <c r="P25" s="189"/>
      <c r="Q25" s="189"/>
      <c r="R25" s="189"/>
      <c r="S25" s="189"/>
      <c r="T25" s="190" t="str">
        <f t="shared" ca="1" si="0"/>
        <v/>
      </c>
      <c r="U25" s="190"/>
      <c r="V25" s="190"/>
      <c r="W25" s="190"/>
      <c r="X25" s="178"/>
      <c r="Y25" s="178"/>
      <c r="Z25" s="178"/>
      <c r="AA25" s="178"/>
      <c r="AB25" s="178"/>
      <c r="AC25" s="178"/>
      <c r="AD25" s="33" t="str">
        <f t="shared" si="5"/>
        <v/>
      </c>
      <c r="AF25" s="34" t="str">
        <f>IF(Berechnung!A25&lt;&gt;"",Berechnung!A25,"")</f>
        <v/>
      </c>
      <c r="AG25" s="34" t="str">
        <f>IF(Berechnung!E25&lt;&gt;"",Berechnung!E25,"")</f>
        <v/>
      </c>
      <c r="AH25" s="5" t="str">
        <f>IF(ISNUMBER(AF25),VLOOKUP(AF25,Calc!$C:$D,2,FALSE),"")</f>
        <v/>
      </c>
      <c r="AI25" s="5" t="str">
        <f>IF(ISNUMBER(AG25),VLOOKUP(AG25,Calc!$C:$D,2,FALSE),"")</f>
        <v/>
      </c>
      <c r="AJ25" s="5" t="e">
        <f t="shared" si="6"/>
        <v>#VALUE!</v>
      </c>
      <c r="AK25" s="5" t="e">
        <f ca="1">SUM(OFFSET(Calc!E$1,AH25,0,AJ25,1))</f>
        <v>#VALUE!</v>
      </c>
      <c r="AL25" s="35" t="e">
        <f ca="1">AK25/(SollAZ!$E$2/5)</f>
        <v>#VALUE!</v>
      </c>
      <c r="AM25" s="36" t="str">
        <f t="shared" si="1"/>
        <v/>
      </c>
      <c r="AN25" s="36" t="str">
        <f t="shared" si="2"/>
        <v/>
      </c>
      <c r="AO25" s="36" t="str">
        <f t="shared" si="7"/>
        <v/>
      </c>
      <c r="AP25" s="36" t="str">
        <f t="shared" si="9"/>
        <v/>
      </c>
      <c r="AQ25" s="36">
        <f t="shared" si="3"/>
        <v>0</v>
      </c>
      <c r="AR25" s="36">
        <f t="shared" si="4"/>
        <v>0</v>
      </c>
      <c r="AS25" s="6" t="str">
        <f t="shared" si="8"/>
        <v>00</v>
      </c>
    </row>
    <row r="26" spans="1:47" s="15" customFormat="1" ht="18.600000000000001" customHeight="1" x14ac:dyDescent="0.25">
      <c r="A26" s="170"/>
      <c r="B26" s="182"/>
      <c r="C26" s="182"/>
      <c r="D26" s="183"/>
      <c r="E26" s="184"/>
      <c r="F26" s="185"/>
      <c r="G26" s="185"/>
      <c r="H26" s="186"/>
      <c r="I26" s="157"/>
      <c r="J26" s="154"/>
      <c r="K26" s="159"/>
      <c r="L26" s="187" t="str">
        <f ca="1">IF(AND(J26&lt;&gt;"",I26=""),"Stunden eingeben",IF(I26="",IFERROR(AL26,""),(I26/((SollAZ!$E$2/5)*J26/100))/K26*42))</f>
        <v/>
      </c>
      <c r="M26" s="188"/>
      <c r="N26" s="188"/>
      <c r="O26" s="188"/>
      <c r="P26" s="189"/>
      <c r="Q26" s="189"/>
      <c r="R26" s="189"/>
      <c r="S26" s="189"/>
      <c r="T26" s="190" t="str">
        <f t="shared" ca="1" si="0"/>
        <v/>
      </c>
      <c r="U26" s="190"/>
      <c r="V26" s="190"/>
      <c r="W26" s="190"/>
      <c r="X26" s="178"/>
      <c r="Y26" s="178"/>
      <c r="Z26" s="178"/>
      <c r="AA26" s="178"/>
      <c r="AB26" s="178"/>
      <c r="AC26" s="178"/>
      <c r="AD26" s="33" t="str">
        <f t="shared" si="5"/>
        <v/>
      </c>
      <c r="AF26" s="34" t="str">
        <f>IF(Berechnung!A26&lt;&gt;"",Berechnung!A26,"")</f>
        <v/>
      </c>
      <c r="AG26" s="34" t="str">
        <f>IF(Berechnung!E26&lt;&gt;"",Berechnung!E26,"")</f>
        <v/>
      </c>
      <c r="AH26" s="5" t="str">
        <f>IF(ISNUMBER(AF26),VLOOKUP(AF26,Calc!$C:$D,2,FALSE),"")</f>
        <v/>
      </c>
      <c r="AI26" s="5" t="str">
        <f>IF(ISNUMBER(AG26),VLOOKUP(AG26,Calc!$C:$D,2,FALSE),"")</f>
        <v/>
      </c>
      <c r="AJ26" s="5" t="e">
        <f t="shared" si="6"/>
        <v>#VALUE!</v>
      </c>
      <c r="AK26" s="5" t="e">
        <f ca="1">SUM(OFFSET(Calc!E$1,AH26,0,AJ26,1))</f>
        <v>#VALUE!</v>
      </c>
      <c r="AL26" s="35" t="e">
        <f ca="1">AK26/(SollAZ!$E$2/5)</f>
        <v>#VALUE!</v>
      </c>
      <c r="AM26" s="36" t="str">
        <f t="shared" si="1"/>
        <v/>
      </c>
      <c r="AN26" s="36" t="str">
        <f t="shared" si="2"/>
        <v/>
      </c>
      <c r="AO26" s="36" t="str">
        <f t="shared" si="7"/>
        <v/>
      </c>
      <c r="AP26" s="36" t="str">
        <f t="shared" si="9"/>
        <v/>
      </c>
      <c r="AQ26" s="36">
        <f t="shared" si="3"/>
        <v>0</v>
      </c>
      <c r="AR26" s="36">
        <f t="shared" si="4"/>
        <v>0</v>
      </c>
      <c r="AS26" s="6" t="str">
        <f t="shared" si="8"/>
        <v>00</v>
      </c>
    </row>
    <row r="27" spans="1:47" s="15" customFormat="1" ht="18.600000000000001" customHeight="1" x14ac:dyDescent="0.25">
      <c r="A27" s="170"/>
      <c r="B27" s="182"/>
      <c r="C27" s="182"/>
      <c r="D27" s="183"/>
      <c r="E27" s="184"/>
      <c r="F27" s="185"/>
      <c r="G27" s="185"/>
      <c r="H27" s="186"/>
      <c r="I27" s="157"/>
      <c r="J27" s="154"/>
      <c r="K27" s="159"/>
      <c r="L27" s="187" t="str">
        <f ca="1">IF(AND(J27&lt;&gt;"",I27=""),"Stunden eingeben",IF(I27="",IFERROR(AL27,""),(I27/((SollAZ!$E$2/5)*J27/100))/K27*42))</f>
        <v/>
      </c>
      <c r="M27" s="188"/>
      <c r="N27" s="188"/>
      <c r="O27" s="188"/>
      <c r="P27" s="189"/>
      <c r="Q27" s="189"/>
      <c r="R27" s="189"/>
      <c r="S27" s="189"/>
      <c r="T27" s="190" t="str">
        <f t="shared" ca="1" si="0"/>
        <v/>
      </c>
      <c r="U27" s="190"/>
      <c r="V27" s="190"/>
      <c r="W27" s="190"/>
      <c r="X27" s="178"/>
      <c r="Y27" s="178"/>
      <c r="Z27" s="178"/>
      <c r="AA27" s="178"/>
      <c r="AB27" s="178"/>
      <c r="AC27" s="178"/>
      <c r="AD27" s="33" t="str">
        <f t="shared" si="5"/>
        <v/>
      </c>
      <c r="AF27" s="34" t="str">
        <f>IF(Berechnung!A27&lt;&gt;"",Berechnung!A27,"")</f>
        <v/>
      </c>
      <c r="AG27" s="34" t="str">
        <f>IF(Berechnung!E27&lt;&gt;"",Berechnung!E27,"")</f>
        <v/>
      </c>
      <c r="AH27" s="5" t="str">
        <f>IF(ISNUMBER(AF27),VLOOKUP(AF27,Calc!$C:$D,2,FALSE),"")</f>
        <v/>
      </c>
      <c r="AI27" s="5" t="str">
        <f>IF(ISNUMBER(AG27),VLOOKUP(AG27,Calc!$C:$D,2,FALSE),"")</f>
        <v/>
      </c>
      <c r="AJ27" s="5" t="e">
        <f t="shared" si="6"/>
        <v>#VALUE!</v>
      </c>
      <c r="AK27" s="5" t="e">
        <f ca="1">SUM(OFFSET(Calc!E$1,AH27,0,AJ27,1))</f>
        <v>#VALUE!</v>
      </c>
      <c r="AL27" s="35" t="e">
        <f ca="1">AK27/(SollAZ!$E$2/5)</f>
        <v>#VALUE!</v>
      </c>
      <c r="AM27" s="36" t="str">
        <f t="shared" si="1"/>
        <v/>
      </c>
      <c r="AN27" s="36" t="str">
        <f t="shared" si="2"/>
        <v/>
      </c>
      <c r="AO27" s="36" t="str">
        <f t="shared" si="7"/>
        <v/>
      </c>
      <c r="AP27" s="36" t="str">
        <f t="shared" si="9"/>
        <v/>
      </c>
      <c r="AQ27" s="36">
        <f t="shared" si="3"/>
        <v>0</v>
      </c>
      <c r="AR27" s="36">
        <f t="shared" si="4"/>
        <v>0</v>
      </c>
      <c r="AS27" s="6" t="str">
        <f t="shared" si="8"/>
        <v>00</v>
      </c>
    </row>
    <row r="28" spans="1:47" s="15" customFormat="1" ht="18.600000000000001" customHeight="1" x14ac:dyDescent="0.25">
      <c r="A28" s="170"/>
      <c r="B28" s="182"/>
      <c r="C28" s="182"/>
      <c r="D28" s="183"/>
      <c r="E28" s="184"/>
      <c r="F28" s="185"/>
      <c r="G28" s="185"/>
      <c r="H28" s="186"/>
      <c r="I28" s="157"/>
      <c r="J28" s="154"/>
      <c r="K28" s="159"/>
      <c r="L28" s="187" t="str">
        <f ca="1">IF(AND(J28&lt;&gt;"",I28=""),"Stunden eingeben",IF(I28="",IFERROR(AL28,""),(I28/((SollAZ!$E$2/5)*J28/100))/K28*42))</f>
        <v/>
      </c>
      <c r="M28" s="188"/>
      <c r="N28" s="188"/>
      <c r="O28" s="188"/>
      <c r="P28" s="189"/>
      <c r="Q28" s="189"/>
      <c r="R28" s="189"/>
      <c r="S28" s="189"/>
      <c r="T28" s="190" t="str">
        <f t="shared" ca="1" si="0"/>
        <v/>
      </c>
      <c r="U28" s="190"/>
      <c r="V28" s="190"/>
      <c r="W28" s="190"/>
      <c r="X28" s="178"/>
      <c r="Y28" s="178"/>
      <c r="Z28" s="178"/>
      <c r="AA28" s="178"/>
      <c r="AB28" s="178"/>
      <c r="AC28" s="178"/>
      <c r="AD28" s="33" t="str">
        <f t="shared" si="5"/>
        <v/>
      </c>
      <c r="AF28" s="34" t="str">
        <f>IF(Berechnung!A28&lt;&gt;"",Berechnung!A28,"")</f>
        <v/>
      </c>
      <c r="AG28" s="34" t="str">
        <f>IF(Berechnung!E28&lt;&gt;"",Berechnung!E28,"")</f>
        <v/>
      </c>
      <c r="AH28" s="5" t="str">
        <f>IF(ISNUMBER(AF28),VLOOKUP(AF28,Calc!$C:$D,2,FALSE),"")</f>
        <v/>
      </c>
      <c r="AI28" s="5" t="str">
        <f>IF(ISNUMBER(AG28),VLOOKUP(AG28,Calc!$C:$D,2,FALSE),"")</f>
        <v/>
      </c>
      <c r="AJ28" s="5" t="e">
        <f t="shared" si="6"/>
        <v>#VALUE!</v>
      </c>
      <c r="AK28" s="5" t="e">
        <f ca="1">SUM(OFFSET(Calc!E$1,AH28,0,AJ28,1))</f>
        <v>#VALUE!</v>
      </c>
      <c r="AL28" s="35" t="e">
        <f ca="1">AK28/(SollAZ!$E$2/5)</f>
        <v>#VALUE!</v>
      </c>
      <c r="AM28" s="36" t="str">
        <f t="shared" si="1"/>
        <v/>
      </c>
      <c r="AN28" s="36" t="str">
        <f t="shared" si="2"/>
        <v/>
      </c>
      <c r="AO28" s="36" t="str">
        <f t="shared" si="7"/>
        <v/>
      </c>
      <c r="AP28" s="36" t="str">
        <f t="shared" si="9"/>
        <v/>
      </c>
      <c r="AQ28" s="36">
        <f t="shared" si="3"/>
        <v>0</v>
      </c>
      <c r="AR28" s="36">
        <f t="shared" si="4"/>
        <v>0</v>
      </c>
      <c r="AS28" s="6" t="str">
        <f t="shared" si="8"/>
        <v>00</v>
      </c>
    </row>
    <row r="29" spans="1:47" s="15" customFormat="1" ht="18.600000000000001" customHeight="1" x14ac:dyDescent="0.25">
      <c r="A29" s="170"/>
      <c r="B29" s="182"/>
      <c r="C29" s="182"/>
      <c r="D29" s="183"/>
      <c r="E29" s="184"/>
      <c r="F29" s="185"/>
      <c r="G29" s="185"/>
      <c r="H29" s="186"/>
      <c r="I29" s="157"/>
      <c r="J29" s="154"/>
      <c r="K29" s="159"/>
      <c r="L29" s="187" t="str">
        <f ca="1">IF(AND(J29&lt;&gt;"",I29=""),"Stunden eingeben",IF(I29="",IFERROR(AL29,""),(I29/((SollAZ!$E$2/5)*J29/100))/K29*42))</f>
        <v/>
      </c>
      <c r="M29" s="188"/>
      <c r="N29" s="188"/>
      <c r="O29" s="188"/>
      <c r="P29" s="189"/>
      <c r="Q29" s="189"/>
      <c r="R29" s="189"/>
      <c r="S29" s="189"/>
      <c r="T29" s="190" t="str">
        <f t="shared" ca="1" si="0"/>
        <v/>
      </c>
      <c r="U29" s="190"/>
      <c r="V29" s="190"/>
      <c r="W29" s="190"/>
      <c r="X29" s="178"/>
      <c r="Y29" s="178"/>
      <c r="Z29" s="178"/>
      <c r="AA29" s="178"/>
      <c r="AB29" s="178"/>
      <c r="AC29" s="178"/>
      <c r="AD29" s="33" t="str">
        <f t="shared" si="5"/>
        <v/>
      </c>
      <c r="AF29" s="34" t="str">
        <f>IF(Berechnung!A29&lt;&gt;"",Berechnung!A29,"")</f>
        <v/>
      </c>
      <c r="AG29" s="34" t="str">
        <f>IF(Berechnung!E29&lt;&gt;"",Berechnung!E29,"")</f>
        <v/>
      </c>
      <c r="AH29" s="5" t="str">
        <f>IF(ISNUMBER(AF29),VLOOKUP(AF29,Calc!$C:$D,2,FALSE),"")</f>
        <v/>
      </c>
      <c r="AI29" s="5" t="str">
        <f>IF(ISNUMBER(AG29),VLOOKUP(AG29,Calc!$C:$D,2,FALSE),"")</f>
        <v/>
      </c>
      <c r="AJ29" s="5" t="e">
        <f t="shared" si="6"/>
        <v>#VALUE!</v>
      </c>
      <c r="AK29" s="5" t="e">
        <f ca="1">SUM(OFFSET(Calc!E$1,AH29,0,AJ29,1))</f>
        <v>#VALUE!</v>
      </c>
      <c r="AL29" s="35" t="e">
        <f ca="1">AK29/(SollAZ!$E$2/5)</f>
        <v>#VALUE!</v>
      </c>
      <c r="AM29" s="36" t="str">
        <f t="shared" si="1"/>
        <v/>
      </c>
      <c r="AN29" s="36" t="str">
        <f t="shared" si="2"/>
        <v/>
      </c>
      <c r="AO29" s="36" t="str">
        <f t="shared" si="7"/>
        <v/>
      </c>
      <c r="AP29" s="36" t="str">
        <f t="shared" si="9"/>
        <v/>
      </c>
      <c r="AQ29" s="36">
        <f t="shared" si="3"/>
        <v>0</v>
      </c>
      <c r="AR29" s="36">
        <f t="shared" si="4"/>
        <v>0</v>
      </c>
      <c r="AS29" s="6" t="str">
        <f t="shared" si="8"/>
        <v>00</v>
      </c>
    </row>
    <row r="30" spans="1:47" s="15" customFormat="1" ht="18.600000000000001" customHeight="1" x14ac:dyDescent="0.25">
      <c r="A30" s="170"/>
      <c r="B30" s="182"/>
      <c r="C30" s="182"/>
      <c r="D30" s="183"/>
      <c r="E30" s="184"/>
      <c r="F30" s="185"/>
      <c r="G30" s="185"/>
      <c r="H30" s="186"/>
      <c r="I30" s="157"/>
      <c r="J30" s="154"/>
      <c r="K30" s="159"/>
      <c r="L30" s="187" t="str">
        <f ca="1">IF(AND(J30&lt;&gt;"",I30=""),"Stunden eingeben",IF(I30="",IFERROR(AL30,""),(I30/((SollAZ!$E$2/5)*J30/100))/K30*42))</f>
        <v/>
      </c>
      <c r="M30" s="188"/>
      <c r="N30" s="188"/>
      <c r="O30" s="188"/>
      <c r="P30" s="189"/>
      <c r="Q30" s="189"/>
      <c r="R30" s="189"/>
      <c r="S30" s="189"/>
      <c r="T30" s="190" t="str">
        <f t="shared" ca="1" si="0"/>
        <v/>
      </c>
      <c r="U30" s="190"/>
      <c r="V30" s="190"/>
      <c r="W30" s="190"/>
      <c r="X30" s="178"/>
      <c r="Y30" s="178"/>
      <c r="Z30" s="178"/>
      <c r="AA30" s="178"/>
      <c r="AB30" s="178"/>
      <c r="AC30" s="178"/>
      <c r="AD30" s="33" t="str">
        <f t="shared" si="5"/>
        <v/>
      </c>
      <c r="AF30" s="34" t="str">
        <f>IF(Berechnung!A30&lt;&gt;"",Berechnung!A30,"")</f>
        <v/>
      </c>
      <c r="AG30" s="34" t="str">
        <f>IF(Berechnung!E30&lt;&gt;"",Berechnung!E30,"")</f>
        <v/>
      </c>
      <c r="AH30" s="5" t="str">
        <f>IF(ISNUMBER(AF30),VLOOKUP(AF30,Calc!$C:$D,2,FALSE),"")</f>
        <v/>
      </c>
      <c r="AI30" s="5" t="str">
        <f>IF(ISNUMBER(AG30),VLOOKUP(AG30,Calc!$C:$D,2,FALSE),"")</f>
        <v/>
      </c>
      <c r="AJ30" s="5" t="e">
        <f t="shared" si="6"/>
        <v>#VALUE!</v>
      </c>
      <c r="AK30" s="5" t="e">
        <f ca="1">SUM(OFFSET(Calc!E$1,AH30,0,AJ30,1))</f>
        <v>#VALUE!</v>
      </c>
      <c r="AL30" s="35" t="e">
        <f ca="1">AK30/(SollAZ!$E$2/5)</f>
        <v>#VALUE!</v>
      </c>
      <c r="AM30" s="36" t="str">
        <f t="shared" si="1"/>
        <v/>
      </c>
      <c r="AN30" s="36" t="str">
        <f t="shared" si="2"/>
        <v/>
      </c>
      <c r="AO30" s="36" t="str">
        <f t="shared" si="7"/>
        <v/>
      </c>
      <c r="AP30" s="36" t="str">
        <f t="shared" si="9"/>
        <v/>
      </c>
      <c r="AQ30" s="36">
        <f t="shared" si="3"/>
        <v>0</v>
      </c>
      <c r="AR30" s="36">
        <f t="shared" si="4"/>
        <v>0</v>
      </c>
      <c r="AS30" s="6" t="str">
        <f t="shared" si="8"/>
        <v>00</v>
      </c>
    </row>
    <row r="31" spans="1:47" s="15" customFormat="1" ht="18.600000000000001" customHeight="1" x14ac:dyDescent="0.25">
      <c r="A31" s="170"/>
      <c r="B31" s="182"/>
      <c r="C31" s="182"/>
      <c r="D31" s="183"/>
      <c r="E31" s="184"/>
      <c r="F31" s="185"/>
      <c r="G31" s="185"/>
      <c r="H31" s="186"/>
      <c r="I31" s="157"/>
      <c r="J31" s="154"/>
      <c r="K31" s="159"/>
      <c r="L31" s="187" t="str">
        <f ca="1">IF(AND(J31&lt;&gt;"",I31=""),"Stunden eingeben",IF(I31="",IFERROR(AL31,""),(I31/((SollAZ!$E$2/5)*J31/100))/K31*42))</f>
        <v/>
      </c>
      <c r="M31" s="188"/>
      <c r="N31" s="188"/>
      <c r="O31" s="188"/>
      <c r="P31" s="189"/>
      <c r="Q31" s="189"/>
      <c r="R31" s="189"/>
      <c r="S31" s="189"/>
      <c r="T31" s="190" t="str">
        <f t="shared" ca="1" si="0"/>
        <v/>
      </c>
      <c r="U31" s="190"/>
      <c r="V31" s="190"/>
      <c r="W31" s="190"/>
      <c r="X31" s="178"/>
      <c r="Y31" s="178"/>
      <c r="Z31" s="178"/>
      <c r="AA31" s="178"/>
      <c r="AB31" s="178"/>
      <c r="AC31" s="178"/>
      <c r="AD31" s="33" t="str">
        <f t="shared" si="5"/>
        <v/>
      </c>
      <c r="AF31" s="34" t="str">
        <f>IF(Berechnung!A31&lt;&gt;"",Berechnung!A31,"")</f>
        <v/>
      </c>
      <c r="AG31" s="34" t="str">
        <f>IF(Berechnung!E31&lt;&gt;"",Berechnung!E31,"")</f>
        <v/>
      </c>
      <c r="AH31" s="5" t="str">
        <f>IF(ISNUMBER(AF31),VLOOKUP(AF31,Calc!$C:$D,2,FALSE),"")</f>
        <v/>
      </c>
      <c r="AI31" s="5" t="str">
        <f>IF(ISNUMBER(AG31),VLOOKUP(AG31,Calc!$C:$D,2,FALSE),"")</f>
        <v/>
      </c>
      <c r="AJ31" s="5" t="e">
        <f t="shared" si="6"/>
        <v>#VALUE!</v>
      </c>
      <c r="AK31" s="5" t="e">
        <f ca="1">SUM(OFFSET(Calc!E$1,AH31,0,AJ31,1))</f>
        <v>#VALUE!</v>
      </c>
      <c r="AL31" s="35" t="e">
        <f ca="1">AK31/(SollAZ!$E$2/5)</f>
        <v>#VALUE!</v>
      </c>
      <c r="AM31" s="36" t="str">
        <f t="shared" si="1"/>
        <v/>
      </c>
      <c r="AN31" s="36" t="str">
        <f t="shared" si="2"/>
        <v/>
      </c>
      <c r="AO31" s="36" t="str">
        <f t="shared" si="7"/>
        <v/>
      </c>
      <c r="AP31" s="36" t="str">
        <f t="shared" si="9"/>
        <v/>
      </c>
      <c r="AQ31" s="36">
        <f t="shared" si="3"/>
        <v>0</v>
      </c>
      <c r="AR31" s="36">
        <f t="shared" si="4"/>
        <v>0</v>
      </c>
      <c r="AS31" s="6" t="str">
        <f t="shared" si="8"/>
        <v>00</v>
      </c>
    </row>
    <row r="32" spans="1:47" s="15" customFormat="1" ht="18.600000000000001" customHeight="1" x14ac:dyDescent="0.25">
      <c r="A32" s="170"/>
      <c r="B32" s="182"/>
      <c r="C32" s="182"/>
      <c r="D32" s="183"/>
      <c r="E32" s="184"/>
      <c r="F32" s="185"/>
      <c r="G32" s="185"/>
      <c r="H32" s="186"/>
      <c r="I32" s="157"/>
      <c r="J32" s="154"/>
      <c r="K32" s="159"/>
      <c r="L32" s="187" t="str">
        <f ca="1">IF(AND(J32&lt;&gt;"",I32=""),"Stunden eingeben",IF(I32="",IFERROR(AL32,""),(I32/((SollAZ!$E$2/5)*J32/100))/K32*42))</f>
        <v/>
      </c>
      <c r="M32" s="188"/>
      <c r="N32" s="188"/>
      <c r="O32" s="188"/>
      <c r="P32" s="189"/>
      <c r="Q32" s="189"/>
      <c r="R32" s="189"/>
      <c r="S32" s="189"/>
      <c r="T32" s="190" t="str">
        <f t="shared" ca="1" si="0"/>
        <v/>
      </c>
      <c r="U32" s="190"/>
      <c r="V32" s="190"/>
      <c r="W32" s="190"/>
      <c r="X32" s="178"/>
      <c r="Y32" s="178"/>
      <c r="Z32" s="178"/>
      <c r="AA32" s="178"/>
      <c r="AB32" s="178"/>
      <c r="AC32" s="178"/>
      <c r="AD32" s="33" t="str">
        <f t="shared" si="5"/>
        <v/>
      </c>
      <c r="AF32" s="34" t="str">
        <f>IF(Berechnung!A32&lt;&gt;"",Berechnung!A32,"")</f>
        <v/>
      </c>
      <c r="AG32" s="34" t="str">
        <f>IF(Berechnung!E32&lt;&gt;"",Berechnung!E32,"")</f>
        <v/>
      </c>
      <c r="AH32" s="5" t="str">
        <f>IF(ISNUMBER(AF32),VLOOKUP(AF32,Calc!$C:$D,2,FALSE),"")</f>
        <v/>
      </c>
      <c r="AI32" s="5" t="str">
        <f>IF(ISNUMBER(AG32),VLOOKUP(AG32,Calc!$C:$D,2,FALSE),"")</f>
        <v/>
      </c>
      <c r="AJ32" s="5" t="e">
        <f t="shared" si="6"/>
        <v>#VALUE!</v>
      </c>
      <c r="AK32" s="5" t="e">
        <f ca="1">SUM(OFFSET(Calc!E$1,AH32,0,AJ32,1))</f>
        <v>#VALUE!</v>
      </c>
      <c r="AL32" s="35" t="e">
        <f ca="1">AK32/(SollAZ!$E$2/5)</f>
        <v>#VALUE!</v>
      </c>
      <c r="AM32" s="36" t="str">
        <f t="shared" si="1"/>
        <v/>
      </c>
      <c r="AN32" s="36" t="str">
        <f t="shared" si="2"/>
        <v/>
      </c>
      <c r="AO32" s="36" t="str">
        <f t="shared" si="7"/>
        <v/>
      </c>
      <c r="AP32" s="36" t="str">
        <f t="shared" si="9"/>
        <v/>
      </c>
      <c r="AQ32" s="36">
        <f t="shared" si="3"/>
        <v>0</v>
      </c>
      <c r="AR32" s="36">
        <f t="shared" si="4"/>
        <v>0</v>
      </c>
      <c r="AS32" s="6" t="str">
        <f t="shared" si="8"/>
        <v>00</v>
      </c>
    </row>
    <row r="33" spans="1:45" s="15" customFormat="1" ht="18.600000000000001" customHeight="1" x14ac:dyDescent="0.25">
      <c r="A33" s="170"/>
      <c r="B33" s="182"/>
      <c r="C33" s="182"/>
      <c r="D33" s="183"/>
      <c r="E33" s="184"/>
      <c r="F33" s="185"/>
      <c r="G33" s="185"/>
      <c r="H33" s="186"/>
      <c r="I33" s="157"/>
      <c r="J33" s="154"/>
      <c r="K33" s="159"/>
      <c r="L33" s="187" t="str">
        <f ca="1">IF(AND(J33&lt;&gt;"",I33=""),"Stunden eingeben",IF(I33="",IFERROR(AL33,""),(I33/((SollAZ!$E$2/5)*J33/100))/K33*42))</f>
        <v/>
      </c>
      <c r="M33" s="188"/>
      <c r="N33" s="188"/>
      <c r="O33" s="188"/>
      <c r="P33" s="189"/>
      <c r="Q33" s="189"/>
      <c r="R33" s="189"/>
      <c r="S33" s="189"/>
      <c r="T33" s="190" t="str">
        <f t="shared" ca="1" si="0"/>
        <v/>
      </c>
      <c r="U33" s="190"/>
      <c r="V33" s="190"/>
      <c r="W33" s="190"/>
      <c r="X33" s="178"/>
      <c r="Y33" s="178"/>
      <c r="Z33" s="178"/>
      <c r="AA33" s="178"/>
      <c r="AB33" s="178"/>
      <c r="AC33" s="178"/>
      <c r="AD33" s="33" t="str">
        <f t="shared" si="5"/>
        <v/>
      </c>
      <c r="AF33" s="34" t="str">
        <f>IF(Berechnung!A33&lt;&gt;"",Berechnung!A33,"")</f>
        <v/>
      </c>
      <c r="AG33" s="34" t="str">
        <f>IF(Berechnung!E33&lt;&gt;"",Berechnung!E33,"")</f>
        <v/>
      </c>
      <c r="AH33" s="5" t="str">
        <f>IF(ISNUMBER(AF33),VLOOKUP(AF33,Calc!$C:$D,2,FALSE),"")</f>
        <v/>
      </c>
      <c r="AI33" s="5" t="str">
        <f>IF(ISNUMBER(AG33),VLOOKUP(AG33,Calc!$C:$D,2,FALSE),"")</f>
        <v/>
      </c>
      <c r="AJ33" s="5" t="e">
        <f t="shared" si="6"/>
        <v>#VALUE!</v>
      </c>
      <c r="AK33" s="5" t="e">
        <f ca="1">SUM(OFFSET(Calc!E$1,AH33,0,AJ33,1))</f>
        <v>#VALUE!</v>
      </c>
      <c r="AL33" s="35" t="e">
        <f ca="1">AK33/(SollAZ!$E$2/5)</f>
        <v>#VALUE!</v>
      </c>
      <c r="AM33" s="36" t="str">
        <f t="shared" si="1"/>
        <v/>
      </c>
      <c r="AN33" s="36" t="str">
        <f t="shared" si="2"/>
        <v/>
      </c>
      <c r="AO33" s="36" t="str">
        <f t="shared" si="7"/>
        <v/>
      </c>
      <c r="AP33" s="36" t="str">
        <f t="shared" si="9"/>
        <v/>
      </c>
      <c r="AQ33" s="36">
        <f t="shared" si="3"/>
        <v>0</v>
      </c>
      <c r="AR33" s="36">
        <f t="shared" si="4"/>
        <v>0</v>
      </c>
      <c r="AS33" s="6" t="str">
        <f t="shared" si="8"/>
        <v>00</v>
      </c>
    </row>
    <row r="34" spans="1:45" s="15" customFormat="1" ht="41.4" customHeight="1" x14ac:dyDescent="0.25">
      <c r="A34" s="179" t="s">
        <v>11</v>
      </c>
      <c r="B34" s="180"/>
      <c r="C34" s="180"/>
      <c r="D34" s="180"/>
      <c r="E34" s="208" t="str">
        <f>"Bei einem Total der Abwesenheiten von mehr als 44 Tagen erfolgt die Ferienkürzung ab dem ersten Tag. Bei unterjährigem Ein-/Austritt wird die Schonfrist gekürzt."</f>
        <v>Bei einem Total der Abwesenheiten von mehr als 44 Tagen erfolgt die Ferienkürzung ab dem ersten Tag. Bei unterjährigem Ein-/Austritt wird die Schonfrist gekürzt.</v>
      </c>
      <c r="F34" s="209"/>
      <c r="G34" s="209"/>
      <c r="H34" s="209"/>
      <c r="I34" s="209"/>
      <c r="J34" s="209"/>
      <c r="K34" s="209"/>
      <c r="L34" s="209"/>
      <c r="M34" s="209"/>
      <c r="N34" s="209"/>
      <c r="O34" s="209"/>
      <c r="P34" s="209"/>
      <c r="Q34" s="209"/>
      <c r="R34" s="209"/>
      <c r="S34" s="210"/>
      <c r="T34" s="181">
        <f ca="1">IF(Z12="Nein",Z10+SUM(T19:W33),IF(Z12="Ja",SUM(T19:W33),"Ferienkürzung für das Vorjahr vorgenommen?"))</f>
        <v>0</v>
      </c>
      <c r="U34" s="181"/>
      <c r="V34" s="181"/>
      <c r="W34" s="181"/>
      <c r="X34" s="191"/>
      <c r="Y34" s="191"/>
      <c r="Z34" s="191"/>
      <c r="AA34" s="191"/>
      <c r="AB34" s="191"/>
      <c r="AC34" s="191"/>
      <c r="AD34" s="25"/>
      <c r="AE34" s="4"/>
      <c r="AH34" s="16"/>
      <c r="AI34" s="16"/>
      <c r="AJ34" s="16"/>
      <c r="AK34" s="16"/>
      <c r="AL34" s="16"/>
      <c r="AS34" s="17"/>
    </row>
    <row r="35" spans="1:45"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9"/>
      <c r="AB35" s="2"/>
    </row>
    <row r="36" spans="1:45" x14ac:dyDescent="0.25">
      <c r="A36" s="37" t="str">
        <f ca="1">IF(AND(Z12="Ja",Z10+T34&gt;T38),"Ferienkürzung",IF(AND(J10&gt;=0,T34&gt;=0),IF(T34&lt;=T38,"Es erfolgt keine Ferienkürzung, der Anspruch bleibt unverändert:","Ferienkürzung:"),"Ferienanspruch?"))</f>
        <v>Es erfolgt keine Ferienkürzung, der Anspruch bleibt unverändert:</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9"/>
      <c r="AB36" s="2"/>
      <c r="AC36" s="38"/>
      <c r="AD36" s="39"/>
    </row>
    <row r="37" spans="1:45"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9"/>
      <c r="AB37" s="2"/>
      <c r="AC37" s="39"/>
      <c r="AD37" s="39"/>
    </row>
    <row r="38" spans="1:45" ht="14.25" customHeight="1" x14ac:dyDescent="0.25">
      <c r="A38" s="176" t="s">
        <v>66</v>
      </c>
      <c r="B38" s="176"/>
      <c r="C38" s="176"/>
      <c r="D38" s="176"/>
      <c r="E38" s="176"/>
      <c r="F38" s="176"/>
      <c r="G38" s="176"/>
      <c r="H38" s="176"/>
      <c r="I38" s="176"/>
      <c r="J38" s="176"/>
      <c r="K38" s="20"/>
      <c r="L38" s="20"/>
      <c r="M38" s="20"/>
      <c r="N38" s="20"/>
      <c r="O38" s="10"/>
      <c r="P38" s="10"/>
      <c r="Q38" s="10"/>
      <c r="R38" s="10"/>
      <c r="S38" s="10"/>
      <c r="T38" s="220">
        <f>MIN((IF(Q4="",EndeJahr,Q4)-IF(J4="",AnfangJahr,J4)+IF(Q4-J4=364,1,0)+1)/Calc!G2*44,44)</f>
        <v>44</v>
      </c>
      <c r="U38" s="221"/>
      <c r="V38" s="221"/>
      <c r="W38" s="222"/>
      <c r="X38" s="10"/>
      <c r="Y38" s="225" t="s">
        <v>80</v>
      </c>
      <c r="Z38" s="225"/>
      <c r="AA38" s="225"/>
      <c r="AB38" s="225"/>
      <c r="AC38" s="225"/>
      <c r="AD38" s="39"/>
      <c r="AE38" s="39"/>
      <c r="AJ38" s="5"/>
      <c r="AP38" s="4"/>
      <c r="AQ38" s="6"/>
    </row>
    <row r="39" spans="1:45" x14ac:dyDescent="0.25">
      <c r="A39" s="221" t="s">
        <v>6</v>
      </c>
      <c r="B39" s="221"/>
      <c r="C39" s="221"/>
      <c r="D39" s="221"/>
      <c r="E39" s="221"/>
      <c r="F39" s="221"/>
      <c r="G39" s="221"/>
      <c r="H39" s="221"/>
      <c r="I39" s="221"/>
      <c r="J39" s="221"/>
      <c r="K39" s="20"/>
      <c r="L39" s="20"/>
      <c r="M39" s="20"/>
      <c r="N39" s="20"/>
      <c r="O39" s="10"/>
      <c r="P39" s="10"/>
      <c r="Q39" s="10"/>
      <c r="R39" s="10"/>
      <c r="S39" s="10"/>
      <c r="T39" s="223"/>
      <c r="U39" s="176"/>
      <c r="V39" s="176"/>
      <c r="W39" s="224"/>
      <c r="X39" s="10"/>
      <c r="Y39" s="225"/>
      <c r="Z39" s="225"/>
      <c r="AA39" s="225"/>
      <c r="AB39" s="225"/>
      <c r="AC39" s="225"/>
      <c r="AE39" s="4"/>
      <c r="AH39" s="40"/>
      <c r="AJ39" s="5"/>
      <c r="AP39" s="4"/>
      <c r="AQ39" s="6"/>
    </row>
    <row r="40" spans="1:45"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9"/>
      <c r="AB40" s="2"/>
      <c r="AG40" s="41"/>
    </row>
    <row r="41" spans="1:45" ht="14.25" customHeight="1" x14ac:dyDescent="0.25">
      <c r="A41" s="42"/>
      <c r="B41" s="175">
        <f ca="1">IF(Z12="Ja",T34,IF(T34&lt;=T38,0,T34))</f>
        <v>0</v>
      </c>
      <c r="C41" s="175"/>
      <c r="D41" s="42"/>
      <c r="E41" s="2" t="s">
        <v>14</v>
      </c>
      <c r="F41" s="176">
        <f>J10-(IF(J4&gt;AnfangJahr,J10/Calc!G2*(J4-AnfangJahr),0)+IF(OR(Q4&gt;EndeJahr,Q4=""),0,J10/Calc!G2*(EndeJahr-Q4)))</f>
        <v>0</v>
      </c>
      <c r="G41" s="176"/>
      <c r="H41" s="42"/>
      <c r="K41" s="10"/>
      <c r="L41" s="43"/>
      <c r="M41" s="226" t="s">
        <v>13</v>
      </c>
      <c r="N41" s="10"/>
      <c r="O41" s="10"/>
      <c r="P41" s="10"/>
      <c r="Q41" s="10"/>
      <c r="R41" s="10"/>
      <c r="S41" s="10"/>
      <c r="T41" s="211">
        <f ca="1">MROUND(IF(AND(J10&gt;0,T34+Z10&gt;T38),B41*F41/A42,0),0.01)</f>
        <v>0</v>
      </c>
      <c r="U41" s="212"/>
      <c r="V41" s="212"/>
      <c r="W41" s="213"/>
      <c r="X41" s="10"/>
      <c r="Y41" s="163" t="s">
        <v>70</v>
      </c>
      <c r="Z41" s="163"/>
      <c r="AA41" s="163"/>
      <c r="AB41" s="163"/>
      <c r="AC41" s="163"/>
      <c r="AE41" s="4"/>
      <c r="AJ41" s="5"/>
      <c r="AP41" s="4"/>
      <c r="AQ41" s="6"/>
    </row>
    <row r="42" spans="1:45" ht="14.25" customHeight="1" x14ac:dyDescent="0.25">
      <c r="A42" s="177">
        <f ca="1">(SUM(INDIRECT("Calc!E"&amp;IF(OR(J4&lt;AnfangJahr,J4=""),2,MATCH(J4,Calc!C1:C373))&amp;":E"&amp;IF(OR(Q4&gt;EndeJahr,Q4=""),373,MATCH(Q4,Calc!C1:C373)))))/(SollAZ!E2/5)</f>
        <v>249.50000000000108</v>
      </c>
      <c r="B42" s="177"/>
      <c r="C42" s="177"/>
      <c r="D42" s="177"/>
      <c r="E42" s="177"/>
      <c r="F42" s="177"/>
      <c r="G42" s="177"/>
      <c r="H42" s="177"/>
      <c r="I42" s="177"/>
      <c r="J42" s="177"/>
      <c r="K42" s="10"/>
      <c r="L42" s="43"/>
      <c r="M42" s="226"/>
      <c r="N42" s="10"/>
      <c r="O42" s="10"/>
      <c r="P42" s="10"/>
      <c r="Q42" s="10"/>
      <c r="R42" s="10"/>
      <c r="S42" s="10"/>
      <c r="T42" s="214"/>
      <c r="U42" s="215"/>
      <c r="V42" s="215"/>
      <c r="W42" s="216"/>
      <c r="X42" s="10"/>
      <c r="Y42" s="163"/>
      <c r="Z42" s="163"/>
      <c r="AA42" s="163"/>
      <c r="AB42" s="163"/>
      <c r="AC42" s="163"/>
      <c r="AE42" s="4"/>
      <c r="AJ42" s="5"/>
      <c r="AP42" s="4"/>
      <c r="AQ42" s="6"/>
    </row>
    <row r="43" spans="1:45"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9"/>
      <c r="AB43" s="2"/>
    </row>
    <row r="44" spans="1:45" ht="27.6" customHeight="1" x14ac:dyDescent="0.25">
      <c r="A44" s="13" t="s">
        <v>67</v>
      </c>
      <c r="B44" s="10"/>
      <c r="C44" s="10"/>
      <c r="D44" s="10"/>
      <c r="E44" s="10"/>
      <c r="F44" s="10"/>
      <c r="G44" s="10"/>
      <c r="H44" s="10"/>
      <c r="I44" s="10"/>
      <c r="O44" s="44"/>
      <c r="P44" s="44"/>
      <c r="Q44" s="44"/>
      <c r="R44" s="44"/>
      <c r="S44" s="44"/>
      <c r="T44" s="217" t="str">
        <f>IF(Q8="","Jahrgang fehlt",MROUND(IF(J10&gt;0,T41*(SollAZ!$E$2/5)*Z6/100,0),0.01))</f>
        <v>Jahrgang fehlt</v>
      </c>
      <c r="U44" s="218"/>
      <c r="V44" s="218"/>
      <c r="W44" s="219"/>
      <c r="X44" s="10"/>
      <c r="Y44" s="164" t="s">
        <v>71</v>
      </c>
      <c r="Z44" s="164"/>
      <c r="AA44" s="164"/>
      <c r="AB44" s="164"/>
      <c r="AC44" s="164"/>
      <c r="AE44" s="4"/>
      <c r="AJ44" s="5"/>
      <c r="AP44" s="4"/>
      <c r="AQ44" s="6"/>
    </row>
    <row r="45" spans="1:45" ht="15.75" customHeight="1" x14ac:dyDescent="0.25">
      <c r="A45" s="10"/>
      <c r="B45" s="10"/>
      <c r="C45" s="10"/>
      <c r="D45" s="10"/>
      <c r="E45" s="10"/>
      <c r="F45" s="10"/>
      <c r="G45" s="10"/>
      <c r="H45" s="10"/>
      <c r="I45" s="10"/>
      <c r="J45" s="10"/>
      <c r="K45" s="10"/>
      <c r="L45" s="10"/>
      <c r="M45" s="10"/>
      <c r="W45" s="10"/>
      <c r="X45" s="10"/>
      <c r="AA45" s="9"/>
      <c r="AB45" s="2"/>
    </row>
    <row r="46" spans="1:45" ht="27.6" customHeight="1" x14ac:dyDescent="0.25">
      <c r="A46" s="10"/>
      <c r="B46" s="10"/>
      <c r="C46" s="10"/>
      <c r="D46" s="10"/>
      <c r="E46" s="10"/>
      <c r="F46" s="10"/>
      <c r="G46" s="10"/>
      <c r="H46" s="10"/>
      <c r="I46" s="10"/>
      <c r="K46" s="45" t="s">
        <v>83</v>
      </c>
      <c r="L46" s="45"/>
      <c r="M46" s="45"/>
      <c r="N46" s="45"/>
      <c r="O46" s="45"/>
      <c r="P46" s="45"/>
      <c r="Q46" s="45"/>
      <c r="R46" s="46"/>
      <c r="S46" s="166"/>
      <c r="T46" s="167"/>
      <c r="U46" s="167"/>
      <c r="V46" s="167"/>
      <c r="W46" s="167"/>
      <c r="X46" s="167"/>
      <c r="Y46" s="167"/>
      <c r="Z46" s="167"/>
      <c r="AA46" s="167"/>
      <c r="AB46" s="168"/>
    </row>
    <row r="47" spans="1:45" x14ac:dyDescent="0.25">
      <c r="A47" s="10"/>
      <c r="B47" s="10"/>
      <c r="C47" s="10"/>
      <c r="D47" s="10"/>
      <c r="E47" s="10"/>
      <c r="F47" s="10"/>
      <c r="G47" s="10"/>
      <c r="H47" s="10"/>
      <c r="I47" s="10"/>
      <c r="K47" s="13"/>
      <c r="S47" s="10"/>
      <c r="T47" s="10"/>
      <c r="U47" s="10"/>
      <c r="V47" s="10"/>
      <c r="W47" s="10"/>
      <c r="X47" s="10"/>
      <c r="AB47" s="2"/>
    </row>
    <row r="48" spans="1:45" x14ac:dyDescent="0.25">
      <c r="B48" s="10"/>
      <c r="C48" s="10"/>
      <c r="D48" s="10"/>
      <c r="F48" s="10"/>
      <c r="G48" s="10"/>
      <c r="H48" s="10"/>
      <c r="I48" s="10"/>
      <c r="K48" s="13"/>
      <c r="Q48" s="10"/>
      <c r="R48" s="10"/>
      <c r="S48" s="10"/>
      <c r="T48" s="10"/>
      <c r="U48" s="10"/>
      <c r="V48" s="10"/>
      <c r="W48" s="10"/>
      <c r="X48" s="10"/>
      <c r="Y48" s="10"/>
      <c r="Z48" s="10"/>
      <c r="AB48" s="2"/>
    </row>
    <row r="49" spans="1:28" x14ac:dyDescent="0.25">
      <c r="A49" s="10"/>
      <c r="B49" s="10"/>
      <c r="C49" s="10"/>
      <c r="D49" s="10"/>
      <c r="E49" s="10"/>
      <c r="F49" s="10"/>
      <c r="G49" s="10"/>
      <c r="H49" s="10"/>
      <c r="I49" s="10"/>
      <c r="K49" s="13"/>
      <c r="Q49" s="10"/>
      <c r="R49" s="10"/>
      <c r="S49" s="10"/>
      <c r="T49" s="10"/>
      <c r="U49" s="10"/>
      <c r="V49" s="10"/>
      <c r="W49" s="10"/>
      <c r="X49" s="10"/>
      <c r="Y49" s="10"/>
      <c r="Z49" s="10"/>
      <c r="AB49" s="2"/>
    </row>
    <row r="50" spans="1:28" x14ac:dyDescent="0.25">
      <c r="A50" s="10"/>
      <c r="B50" s="10"/>
      <c r="C50" s="10"/>
      <c r="D50" s="10"/>
      <c r="E50" s="10"/>
      <c r="F50" s="10"/>
      <c r="G50" s="10"/>
      <c r="H50" s="10"/>
      <c r="I50" s="10"/>
      <c r="J50" s="10"/>
      <c r="K50" s="10"/>
      <c r="L50" s="10"/>
      <c r="M50" s="10"/>
      <c r="N50" s="10"/>
      <c r="O50" s="10"/>
      <c r="P50" s="10"/>
      <c r="Q50" s="10"/>
      <c r="R50" s="10"/>
      <c r="AA50" s="9"/>
      <c r="AB50" s="2"/>
    </row>
    <row r="51" spans="1:28" x14ac:dyDescent="0.25">
      <c r="G51" s="10"/>
    </row>
  </sheetData>
  <sheetProtection algorithmName="SHA-512" hashValue="rpOTvNP2Alc6Atdu6MQr/fu+zK83sZOF+F7tu9MayXEeuGArkP2HjtGmoMjqrd0RxM9vcO9xU5Zf4A42dKSArg==" saltValue="WDGNDbJggeJq81bVaF1PuQ==" spinCount="100000" sheet="1" formatRows="0" selectLockedCells="1"/>
  <mergeCells count="144">
    <mergeCell ref="E34:S34"/>
    <mergeCell ref="T41:W42"/>
    <mergeCell ref="T44:W44"/>
    <mergeCell ref="T38:W39"/>
    <mergeCell ref="Y38:AC39"/>
    <mergeCell ref="A39:J39"/>
    <mergeCell ref="A38:J38"/>
    <mergeCell ref="M41:M42"/>
    <mergeCell ref="AG15:AK15"/>
    <mergeCell ref="A18:D18"/>
    <mergeCell ref="L17:O18"/>
    <mergeCell ref="P17:S18"/>
    <mergeCell ref="T17:W18"/>
    <mergeCell ref="X17:AC18"/>
    <mergeCell ref="A19:D19"/>
    <mergeCell ref="E19:H19"/>
    <mergeCell ref="L19:O19"/>
    <mergeCell ref="P19:S19"/>
    <mergeCell ref="T19:W19"/>
    <mergeCell ref="A17:H17"/>
    <mergeCell ref="E18:H18"/>
    <mergeCell ref="A21:D21"/>
    <mergeCell ref="E21:H21"/>
    <mergeCell ref="L21:O21"/>
    <mergeCell ref="P21:S21"/>
    <mergeCell ref="T21:W21"/>
    <mergeCell ref="X21:AC21"/>
    <mergeCell ref="X19:AC19"/>
    <mergeCell ref="A20:D20"/>
    <mergeCell ref="E20:H20"/>
    <mergeCell ref="L20:O20"/>
    <mergeCell ref="L24:O24"/>
    <mergeCell ref="P24:S24"/>
    <mergeCell ref="T24:W24"/>
    <mergeCell ref="X24:AC24"/>
    <mergeCell ref="P20:S20"/>
    <mergeCell ref="T20:W20"/>
    <mergeCell ref="X20:AC20"/>
    <mergeCell ref="A23:D23"/>
    <mergeCell ref="E23:H23"/>
    <mergeCell ref="L23:O23"/>
    <mergeCell ref="P23:S23"/>
    <mergeCell ref="T23:W23"/>
    <mergeCell ref="X23:AC23"/>
    <mergeCell ref="A22:D22"/>
    <mergeCell ref="E22:H22"/>
    <mergeCell ref="L22:O22"/>
    <mergeCell ref="P22:S22"/>
    <mergeCell ref="X22:AC22"/>
    <mergeCell ref="X28:AC28"/>
    <mergeCell ref="A27:D27"/>
    <mergeCell ref="E27:H27"/>
    <mergeCell ref="L27:O27"/>
    <mergeCell ref="P27:S27"/>
    <mergeCell ref="T27:W27"/>
    <mergeCell ref="T22:W22"/>
    <mergeCell ref="X27:AC27"/>
    <mergeCell ref="A26:D26"/>
    <mergeCell ref="E26:H26"/>
    <mergeCell ref="L26:O26"/>
    <mergeCell ref="P26:S26"/>
    <mergeCell ref="T26:W26"/>
    <mergeCell ref="X26:AC26"/>
    <mergeCell ref="A25:D25"/>
    <mergeCell ref="E25:H25"/>
    <mergeCell ref="L25:O25"/>
    <mergeCell ref="P25:S25"/>
    <mergeCell ref="T25:W25"/>
    <mergeCell ref="X25:AC25"/>
    <mergeCell ref="A24:D24"/>
    <mergeCell ref="X31:AC31"/>
    <mergeCell ref="A30:D30"/>
    <mergeCell ref="E30:H30"/>
    <mergeCell ref="L30:O30"/>
    <mergeCell ref="P30:S30"/>
    <mergeCell ref="T30:W30"/>
    <mergeCell ref="X30:AC30"/>
    <mergeCell ref="L29:O29"/>
    <mergeCell ref="P29:S29"/>
    <mergeCell ref="T29:W29"/>
    <mergeCell ref="X29:AC29"/>
    <mergeCell ref="A29:D29"/>
    <mergeCell ref="E29:H29"/>
    <mergeCell ref="E32:H32"/>
    <mergeCell ref="L32:O32"/>
    <mergeCell ref="P32:S32"/>
    <mergeCell ref="T32:W32"/>
    <mergeCell ref="A31:D31"/>
    <mergeCell ref="E31:H31"/>
    <mergeCell ref="L31:O31"/>
    <mergeCell ref="P31:S31"/>
    <mergeCell ref="E24:H24"/>
    <mergeCell ref="T31:W31"/>
    <mergeCell ref="A28:D28"/>
    <mergeCell ref="E28:H28"/>
    <mergeCell ref="L28:O28"/>
    <mergeCell ref="P28:S28"/>
    <mergeCell ref="T28:W28"/>
    <mergeCell ref="D6:K6"/>
    <mergeCell ref="D8:K8"/>
    <mergeCell ref="A14:Z14"/>
    <mergeCell ref="L10:M10"/>
    <mergeCell ref="L12:M12"/>
    <mergeCell ref="D4:F4"/>
    <mergeCell ref="Q6:T6"/>
    <mergeCell ref="Q8:T8"/>
    <mergeCell ref="V4:Y4"/>
    <mergeCell ref="V6:Y6"/>
    <mergeCell ref="V8:Y8"/>
    <mergeCell ref="J10:K10"/>
    <mergeCell ref="J12:K12"/>
    <mergeCell ref="A12:I12"/>
    <mergeCell ref="N10:Y10"/>
    <mergeCell ref="N12:Y12"/>
    <mergeCell ref="N4:P4"/>
    <mergeCell ref="N6:P6"/>
    <mergeCell ref="N8:P8"/>
    <mergeCell ref="H4:I4"/>
    <mergeCell ref="A6:C6"/>
    <mergeCell ref="A4:C4"/>
    <mergeCell ref="I17:K17"/>
    <mergeCell ref="Y41:AC42"/>
    <mergeCell ref="Y44:AC44"/>
    <mergeCell ref="A10:I10"/>
    <mergeCell ref="S46:AB46"/>
    <mergeCell ref="D2:T2"/>
    <mergeCell ref="J4:K4"/>
    <mergeCell ref="Q4:T4"/>
    <mergeCell ref="A15:Z15"/>
    <mergeCell ref="B41:C41"/>
    <mergeCell ref="F41:G41"/>
    <mergeCell ref="A42:J42"/>
    <mergeCell ref="X33:AC33"/>
    <mergeCell ref="X32:AC32"/>
    <mergeCell ref="A34:D34"/>
    <mergeCell ref="T34:W34"/>
    <mergeCell ref="A33:D33"/>
    <mergeCell ref="E33:H33"/>
    <mergeCell ref="L33:O33"/>
    <mergeCell ref="P33:S33"/>
    <mergeCell ref="T33:W33"/>
    <mergeCell ref="X34:AC34"/>
    <mergeCell ref="A32:D32"/>
    <mergeCell ref="AC15:AF15"/>
  </mergeCells>
  <conditionalFormatting sqref="J19:J33">
    <cfRule type="expression" dxfId="9" priority="8">
      <formula>ISBLANK(I19)=FALSE</formula>
    </cfRule>
  </conditionalFormatting>
  <conditionalFormatting sqref="I19:I33">
    <cfRule type="expression" dxfId="8" priority="7">
      <formula>ISBLANK(I19)=FALSE</formula>
    </cfRule>
  </conditionalFormatting>
  <conditionalFormatting sqref="G19:H33">
    <cfRule type="expression" dxfId="7" priority="6">
      <formula>ISBLANK(L19)=FALSE</formula>
    </cfRule>
  </conditionalFormatting>
  <conditionalFormatting sqref="C19:D33">
    <cfRule type="expression" dxfId="6" priority="4">
      <formula>ISBLANK(L19)=FALSE</formula>
    </cfRule>
  </conditionalFormatting>
  <conditionalFormatting sqref="X19:AC33">
    <cfRule type="expression" dxfId="5" priority="11">
      <formula>(ISBLANK(I19)=FALSE)</formula>
    </cfRule>
  </conditionalFormatting>
  <conditionalFormatting sqref="P19:S33">
    <cfRule type="expression" dxfId="4" priority="12">
      <formula>ISBLANK(I19)=FALSE</formula>
    </cfRule>
  </conditionalFormatting>
  <conditionalFormatting sqref="E19:F33">
    <cfRule type="expression" dxfId="3" priority="14">
      <formula>ISBLANK(I19)=FALSE</formula>
    </cfRule>
  </conditionalFormatting>
  <conditionalFormatting sqref="A19:B33">
    <cfRule type="expression" dxfId="2" priority="16">
      <formula>ISBLANK(I19)=FALSE</formula>
    </cfRule>
  </conditionalFormatting>
  <conditionalFormatting sqref="K20:K33">
    <cfRule type="expression" dxfId="1" priority="2">
      <formula>ISBLANK(J20)=FALSE</formula>
    </cfRule>
  </conditionalFormatting>
  <conditionalFormatting sqref="K19">
    <cfRule type="expression" dxfId="0" priority="1">
      <formula>ISBLANK(I19)=FALSE</formula>
    </cfRule>
  </conditionalFormatting>
  <dataValidations count="16">
    <dataValidation type="whole" showInputMessage="1" showErrorMessage="1" error="Pensum muss zwischen 10 und 100 Prozent liegen._x000a_Bitte erfassen Sie die Zahl ohne Prozentzeichen." sqref="AA6">
      <formula1>10</formula1>
      <formula2>100</formula2>
    </dataValidation>
    <dataValidation type="whole" allowBlank="1" showInputMessage="1" showErrorMessage="1" errorTitle="Fehleingabe" error="Bitte erfassen Sie den Jahrgang._x000a_Beispiel: 1984" sqref="Q8:T8">
      <formula1>1900</formula1>
      <formula2>D4</formula2>
    </dataValidation>
    <dataValidation type="whole" allowBlank="1" showInputMessage="1" showErrorMessage="1" errorTitle="Fehleingabe" error="Es sind nur Zahlen im Bereich der möglichen Personalnummern erlaubt" sqref="Q6:T6">
      <formula1>100000</formula1>
      <formula2>999999</formula2>
    </dataValidation>
    <dataValidation type="decimal" allowBlank="1" showInputMessage="1" showErrorMessage="1" error="Die Arbeitsunfähigkeit muss zwischen 10 und 100 liegen. Bitte den Wert ohne Prozentzeichen eingeben." sqref="P19:S33">
      <formula1>0</formula1>
      <formula2>100</formula2>
    </dataValidation>
    <dataValidation type="whole" allowBlank="1" showInputMessage="1" showErrorMessage="1" errorTitle="Fehleingabe" error="Bitte wählen Sie ein Jahr ab 2018" sqref="D4:F4">
      <formula1>2018</formula1>
      <formula2>2099</formula2>
    </dataValidation>
    <dataValidation type="decimal" allowBlank="1" showInputMessage="1" showErrorMessage="1" errorTitle="Fehleingabe" error="Nur Dezimalzahlen erlaubt" sqref="I19:I33">
      <formula1>0</formula1>
      <formula2>9999999</formula2>
    </dataValidation>
    <dataValidation type="date" allowBlank="1" showInputMessage="1" showErrorMessage="1" errorTitle="Kalenderjahr" error="Der Wert muss im Kalenderjahr dieses Formulars liegen" sqref="A19:H33">
      <formula1>AnfangJahr</formula1>
      <formula2>EndeJahr</formula2>
    </dataValidation>
    <dataValidation type="decimal" allowBlank="1" showInputMessage="1" showErrorMessage="1" errorTitle="Fehleingabe" error="Der Wert muss zw. 0 und 100 liegen" sqref="J19:J33">
      <formula1>0</formula1>
      <formula2>100</formula2>
    </dataValidation>
    <dataValidation type="list" allowBlank="1" showInputMessage="1" showErrorMessage="1" errorTitle="Dropdownfeld" error="&quot;Ja&quot; oder &quot;Nein&quot; eingeben." sqref="Z4">
      <formula1>"Ja,Nein"</formula1>
    </dataValidation>
    <dataValidation type="whole" showInputMessage="1" showErrorMessage="1" error="Pensum muss zwischen 0 und 100 Prozent liegen._x000a_Bitte erfassen Sie die Zahl ohne Prozentzeichen." sqref="Z6">
      <formula1>0</formula1>
      <formula2>100</formula2>
    </dataValidation>
    <dataValidation type="date" allowBlank="1" showInputMessage="1" showErrorMessage="1" errorTitle="Eintritt im aktuellen Jahr" error="Eintrittsdatum nur erfassen, wenn es im aktuellen Jahr liegt._x000a__x000a_Sonst leer lassen" sqref="J4:K4">
      <formula1>AF17</formula1>
      <formula2>AG17</formula2>
    </dataValidation>
    <dataValidation type="decimal" allowBlank="1" showInputMessage="1" showErrorMessage="1" sqref="Z10">
      <formula1>0</formula1>
      <formula2>600</formula2>
    </dataValidation>
    <dataValidation type="date" allowBlank="1" showInputMessage="1" showErrorMessage="1" errorTitle="Austritt im aktuellen Jahr" error="Austrittsdatum nur erfassen, wenn es im aktuellen Jahr liegt." sqref="Q4:T4">
      <formula1>AF17</formula1>
      <formula2>AG17</formula2>
    </dataValidation>
    <dataValidation type="list" allowBlank="1" showInputMessage="1" showErrorMessage="1" sqref="Z12">
      <formula1>"Ja,Nein"</formula1>
    </dataValidation>
    <dataValidation type="decimal" allowBlank="1" showInputMessage="1" showErrorMessage="1" sqref="K20:K33">
      <formula1>30</formula1>
      <formula2>60</formula2>
    </dataValidation>
    <dataValidation type="decimal" allowBlank="1" showInputMessage="1" showErrorMessage="1" errorTitle="Wochenstunden bei 100%" error="Die Wochenstunden bei 100% Beschäftigungsgrad müssen zwischen 30 und 60 Stunden liegen _x000a__x000a_z.B. beim Bandbreitenmodell 4 sind es 42 Stunden" sqref="K19">
      <formula1>30</formula1>
      <formula2>60</formula2>
    </dataValidation>
  </dataValidations>
  <pageMargins left="1.1811023622047245" right="0.39370078740157483" top="1.1811023622047245" bottom="0.9055118110236221" header="0.39370078740157483" footer="0.39370078740157483"/>
  <pageSetup paperSize="9" scale="69" orientation="portrait" r:id="rId1"/>
  <headerFooter>
    <oddHeader>&amp;L&amp;10Kanton St.Gallen&amp;R&amp;G</oddHeader>
    <oddFooter>&amp;L&amp;8&amp;F&amp;R&amp;P/&amp;N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H1" sqref="H1"/>
    </sheetView>
  </sheetViews>
  <sheetFormatPr baseColWidth="10" defaultRowHeight="13.8" x14ac:dyDescent="0.25"/>
  <sheetData/>
  <pageMargins left="0.51181102362204722" right="0.51181102362204722"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A78"/>
  <sheetViews>
    <sheetView topLeftCell="T1" zoomScaleNormal="100" workbookViewId="0">
      <selection activeCell="Z20" sqref="Z20"/>
    </sheetView>
  </sheetViews>
  <sheetFormatPr baseColWidth="10" defaultColWidth="10.19921875" defaultRowHeight="13.8" x14ac:dyDescent="0.25"/>
  <cols>
    <col min="1" max="1" width="5.19921875" style="61" hidden="1" customWidth="1"/>
    <col min="2" max="2" width="3.3984375" style="61" hidden="1" customWidth="1"/>
    <col min="3" max="3" width="4.5" style="61" hidden="1" customWidth="1"/>
    <col min="4" max="4" width="7.3984375" style="61" hidden="1" customWidth="1"/>
    <col min="5" max="5" width="5.19921875" style="61" hidden="1" customWidth="1"/>
    <col min="6" max="6" width="5" style="61" hidden="1" customWidth="1"/>
    <col min="7" max="7" width="7.3984375" style="61" hidden="1" customWidth="1"/>
    <col min="8" max="8" width="6.5" style="61" hidden="1" customWidth="1"/>
    <col min="9" max="9" width="8.59765625" style="61" hidden="1" customWidth="1"/>
    <col min="10" max="10" width="7.3984375" style="61" hidden="1" customWidth="1"/>
    <col min="11" max="11" width="4.8984375" style="61" hidden="1" customWidth="1"/>
    <col min="12" max="12" width="5.69921875" style="61" hidden="1" customWidth="1"/>
    <col min="13" max="13" width="7.3984375" style="61" hidden="1" customWidth="1"/>
    <col min="14" max="14" width="3.19921875" style="61" hidden="1" customWidth="1"/>
    <col min="15" max="15" width="7.59765625" style="61" hidden="1" customWidth="1"/>
    <col min="16" max="16" width="7.3984375" style="61" hidden="1" customWidth="1"/>
    <col min="17" max="18" width="4.5" style="61" hidden="1" customWidth="1"/>
    <col min="19" max="19" width="7.3984375" style="61" hidden="1" customWidth="1"/>
    <col min="20" max="20" width="6.59765625" style="61" customWidth="1"/>
    <col min="21" max="21" width="10.19921875" style="61" customWidth="1"/>
    <col min="22" max="22" width="9.8984375" style="61" bestFit="1" customWidth="1"/>
    <col min="23" max="23" width="4.8984375" style="61" bestFit="1" customWidth="1"/>
    <col min="24" max="24" width="17" style="61" bestFit="1" customWidth="1"/>
    <col min="25" max="25" width="4.19921875" style="61" bestFit="1" customWidth="1"/>
    <col min="26" max="26" width="29.09765625" style="61" bestFit="1" customWidth="1"/>
    <col min="27" max="27" width="23.19921875" style="61" customWidth="1"/>
    <col min="28" max="16384" width="10.19921875" style="61"/>
  </cols>
  <sheetData>
    <row r="1" spans="1:27" ht="41.4" x14ac:dyDescent="0.25">
      <c r="A1" s="148" t="s">
        <v>73</v>
      </c>
      <c r="B1" s="148"/>
      <c r="C1" s="148"/>
      <c r="D1" s="148"/>
      <c r="E1" s="148"/>
      <c r="F1" s="148"/>
      <c r="G1" s="149"/>
      <c r="H1" s="149"/>
      <c r="I1" s="149"/>
      <c r="J1" s="149"/>
      <c r="K1" s="149"/>
      <c r="L1" s="149"/>
      <c r="M1" s="149"/>
      <c r="N1" s="149"/>
      <c r="O1" s="149"/>
      <c r="P1" s="149"/>
      <c r="Q1" s="149"/>
      <c r="R1" s="149"/>
      <c r="S1" s="150"/>
      <c r="T1" s="151">
        <v>2024</v>
      </c>
      <c r="U1" s="249" t="s">
        <v>55</v>
      </c>
      <c r="V1" s="250"/>
      <c r="W1" s="62"/>
      <c r="X1" s="152" t="s">
        <v>76</v>
      </c>
      <c r="AA1" s="152" t="s">
        <v>85</v>
      </c>
    </row>
    <row r="2" spans="1:27" x14ac:dyDescent="0.25">
      <c r="A2" s="63" t="s">
        <v>30</v>
      </c>
      <c r="B2" s="64"/>
      <c r="C2" s="64"/>
      <c r="D2" s="63"/>
      <c r="E2" s="251">
        <v>42</v>
      </c>
      <c r="F2" s="251"/>
      <c r="G2" s="64"/>
      <c r="H2" s="65" t="s">
        <v>45</v>
      </c>
      <c r="I2" s="64"/>
      <c r="J2" s="64"/>
      <c r="K2" s="66"/>
      <c r="L2" s="64"/>
      <c r="M2" s="64"/>
      <c r="N2" s="64"/>
      <c r="O2" s="64"/>
      <c r="P2" s="64"/>
      <c r="Q2" s="64"/>
      <c r="R2" s="64"/>
      <c r="S2" s="64"/>
      <c r="T2" s="67"/>
      <c r="U2" s="249" t="s">
        <v>56</v>
      </c>
      <c r="V2" s="250"/>
      <c r="AA2" s="61" t="s">
        <v>86</v>
      </c>
    </row>
    <row r="3" spans="1:27" x14ac:dyDescent="0.25">
      <c r="AA3" s="61" t="s">
        <v>87</v>
      </c>
    </row>
    <row r="4" spans="1:27" x14ac:dyDescent="0.25">
      <c r="A4" s="68" t="s">
        <v>27</v>
      </c>
      <c r="B4" s="69">
        <v>34335</v>
      </c>
      <c r="C4" s="70"/>
      <c r="D4" s="71"/>
      <c r="E4" s="69">
        <v>34366</v>
      </c>
      <c r="F4" s="70"/>
      <c r="G4" s="71"/>
      <c r="H4" s="69">
        <v>34394</v>
      </c>
      <c r="I4" s="70"/>
      <c r="J4" s="71"/>
      <c r="K4" s="69">
        <v>34425</v>
      </c>
      <c r="L4" s="70"/>
      <c r="M4" s="71"/>
      <c r="N4" s="69">
        <v>34455</v>
      </c>
      <c r="O4" s="70"/>
      <c r="P4" s="71"/>
      <c r="Q4" s="69">
        <v>34486</v>
      </c>
      <c r="R4" s="70"/>
      <c r="S4" s="71"/>
      <c r="T4" s="72" t="s">
        <v>27</v>
      </c>
      <c r="U4" s="73"/>
      <c r="V4" s="74"/>
      <c r="X4" s="75"/>
      <c r="Y4" s="75"/>
      <c r="Z4" s="75"/>
      <c r="AA4" s="61" t="s">
        <v>88</v>
      </c>
    </row>
    <row r="5" spans="1:27" x14ac:dyDescent="0.25">
      <c r="A5" s="76"/>
      <c r="D5" s="77"/>
      <c r="G5" s="77"/>
      <c r="J5" s="77"/>
      <c r="M5" s="77"/>
      <c r="P5" s="77"/>
      <c r="S5" s="77"/>
      <c r="T5" s="78"/>
      <c r="X5" s="75"/>
      <c r="Y5" s="75"/>
      <c r="Z5" s="75"/>
    </row>
    <row r="6" spans="1:27" x14ac:dyDescent="0.25">
      <c r="A6" s="76">
        <v>1</v>
      </c>
      <c r="B6" s="79">
        <f t="shared" ref="B6:B36" si="0">IFERROR(DATEVALUE($A6&amp;"."&amp;MONTH(B$4)&amp;"."&amp;Akt_Jahr),"")</f>
        <v>45292</v>
      </c>
      <c r="C6" s="80" t="str">
        <f t="shared" ref="C6:C36" si="1">IFERROR(IF(OR(WEEKDAY(B6)=7,WEEKDAY(B6)=1),"",IF(ISNA(MATCH(B6,Spez_Tg,0)),W_Std/5,IF(LOOKUP(B6,Spez_Tg,Spez_Std)&gt;0,LOOKUP(B6,Spez_Tg,Spez_Std),LOOKUP(B6,Spez_Tg,Festtage)))),"")</f>
        <v>Neujahr</v>
      </c>
      <c r="D6" s="81" t="str">
        <f>IFERROR(IF(C6=LOOKUP(B6,Spez_Tg,Festtage),"",IF(C6&lt;&gt;"",MAX(D5:D$5)+C6,"")),"")</f>
        <v/>
      </c>
      <c r="E6" s="82">
        <f t="shared" ref="E6:E36" si="2">IFERROR(DATEVALUE($A6&amp;"."&amp;MONTH(E$4)&amp;"."&amp;Akt_Jahr),"")</f>
        <v>45323</v>
      </c>
      <c r="F6" s="80">
        <f t="shared" ref="F6:F36" si="3">IFERROR(IF(OR(WEEKDAY(E6)=7,WEEKDAY(E6)=1),"",IF(ISNA(MATCH(E6,Spez_Tg,0)),W_Std/5,IF(LOOKUP(E6,Spez_Tg,Spez_Std)&gt;0,LOOKUP(E6,Spez_Tg,Spez_Std),LOOKUP(E6,Spez_Tg,Festtage)))),"")</f>
        <v>8.4</v>
      </c>
      <c r="G6" s="81">
        <f>IFERROR(IF(F6=LOOKUP(E6,Spez_Tg,Festtage),"",IF(F6&lt;&gt;"",MAX(G5:G$5)+F6,"")),"")</f>
        <v>8.4</v>
      </c>
      <c r="H6" s="82">
        <f t="shared" ref="H6:H36" si="4">IFERROR(DATEVALUE($A6&amp;"."&amp;MONTH(H$4)&amp;"."&amp;Akt_Jahr),"")</f>
        <v>45352</v>
      </c>
      <c r="I6" s="80">
        <f t="shared" ref="I6:I36" si="5">IFERROR(IF(OR(WEEKDAY(H6)=7,WEEKDAY(H6)=1),"",IF(ISNA(MATCH(H6,Spez_Tg,0)),W_Std/5,IF(LOOKUP(H6,Spez_Tg,Spez_Std)&gt;0,LOOKUP(H6,Spez_Tg,Spez_Std),LOOKUP(H6,Spez_Tg,Festtage)))),"")</f>
        <v>8.4</v>
      </c>
      <c r="J6" s="81">
        <f>IFERROR(IF(I6=LOOKUP(H6,Spez_Tg,Festtage),"",IF(I6&lt;&gt;"",MAX(J5:J$5)+I6,"")),"")</f>
        <v>8.4</v>
      </c>
      <c r="K6" s="82">
        <f t="shared" ref="K6:K35" si="6">IFERROR(DATEVALUE($A6&amp;"."&amp;MONTH(K$4)&amp;"."&amp;Akt_Jahr),"")</f>
        <v>45383</v>
      </c>
      <c r="L6" s="80" t="str">
        <f t="shared" ref="L6:L36" si="7">IFERROR(IF(OR(WEEKDAY(K6)=7,WEEKDAY(K6)=1),"",IF(ISNA(MATCH(K6,Spez_Tg,0)),W_Std/5,IF(LOOKUP(K6,Spez_Tg,Spez_Std)&gt;0,LOOKUP(K6,Spez_Tg,Spez_Std),LOOKUP(K6,Spez_Tg,Festtage)))),"")</f>
        <v>Ostermontag</v>
      </c>
      <c r="M6" s="81" t="str">
        <f>IFERROR(IF(L6=LOOKUP(K6,Spez_Tg,Festtage),"",IF(L6&lt;&gt;"",MAX(M5:M$5)+L6,"")),"")</f>
        <v/>
      </c>
      <c r="N6" s="82">
        <f t="shared" ref="N6:N36" si="8">IFERROR(DATEVALUE($A6&amp;"."&amp;MONTH(N$4)&amp;"."&amp;Akt_Jahr),"")</f>
        <v>45413</v>
      </c>
      <c r="O6" s="80">
        <f t="shared" ref="O6:O36" si="9">IFERROR(IF(OR(WEEKDAY(N6)=7,WEEKDAY(N6)=1),"",IF(ISNA(MATCH(N6,Spez_Tg,0)),W_Std/5,IF(LOOKUP(N6,Spez_Tg,Spez_Std)&gt;0,LOOKUP(N6,Spez_Tg,Spez_Std),LOOKUP(N6,Spez_Tg,Festtage)))),"")</f>
        <v>4.2</v>
      </c>
      <c r="P6" s="81">
        <f>IFERROR(IF(O6=LOOKUP(N6,Spez_Tg,Festtage),"",IF(O6&lt;&gt;"",MAX(P5:P$5)+O6,"")),"")</f>
        <v>4.2</v>
      </c>
      <c r="Q6" s="82">
        <f t="shared" ref="Q6:Q36" si="10">IFERROR(DATEVALUE($A6&amp;"."&amp;MONTH(Q$4)&amp;"."&amp;Akt_Jahr),"")</f>
        <v>45444</v>
      </c>
      <c r="R6" s="80" t="str">
        <f t="shared" ref="R6:R36" si="11">IFERROR(IF(OR(WEEKDAY(Q6)=7,WEEKDAY(Q6)=1),"",IF(ISNA(MATCH(Q6,Spez_Tg,0)),W_Std/5,IF(LOOKUP(Q6,Spez_Tg,Spez_Std)&gt;0,LOOKUP(Q6,Spez_Tg,Spez_Std),LOOKUP(Q6,Spez_Tg,Festtage)))),"")</f>
        <v/>
      </c>
      <c r="S6" s="81" t="str">
        <f>IFERROR(IF(R6=LOOKUP(Q6,Spez_Tg,Festtage),"",IF(R6&lt;&gt;"",MAX(S5:S$5)+R6,"")),"")</f>
        <v/>
      </c>
      <c r="T6" s="78">
        <v>1</v>
      </c>
      <c r="X6" s="75"/>
      <c r="Y6" s="75"/>
      <c r="Z6" s="75"/>
    </row>
    <row r="7" spans="1:27" x14ac:dyDescent="0.25">
      <c r="A7" s="83">
        <v>2</v>
      </c>
      <c r="B7" s="84">
        <f t="shared" si="0"/>
        <v>45293</v>
      </c>
      <c r="C7" s="85" t="str">
        <f t="shared" si="1"/>
        <v>Berchtoldstag</v>
      </c>
      <c r="D7" s="86" t="str">
        <f>IFERROR(IF(C7=LOOKUP(B7,Spez_Tg,Festtage),"",IF(C7&lt;&gt;"",MAX(D$5:D6)+C7,"")),"")</f>
        <v/>
      </c>
      <c r="E7" s="84">
        <f t="shared" si="2"/>
        <v>45324</v>
      </c>
      <c r="F7" s="85">
        <f t="shared" si="3"/>
        <v>8.4</v>
      </c>
      <c r="G7" s="86">
        <f>IFERROR(IF(F7=LOOKUP(E7,Spez_Tg,Festtage),"",IF(F7&lt;&gt;"",MAX(G$5:G6)+F7,"")),"")</f>
        <v>16.8</v>
      </c>
      <c r="H7" s="84">
        <f t="shared" si="4"/>
        <v>45353</v>
      </c>
      <c r="I7" s="85" t="str">
        <f t="shared" si="5"/>
        <v/>
      </c>
      <c r="J7" s="86" t="str">
        <f>IFERROR(IF(I7=LOOKUP(H7,Spez_Tg,Festtage),"",IF(I7&lt;&gt;"",MAX(J$5:J6)+I7,"")),"")</f>
        <v/>
      </c>
      <c r="K7" s="84">
        <f t="shared" si="6"/>
        <v>45384</v>
      </c>
      <c r="L7" s="85">
        <f t="shared" si="7"/>
        <v>8.4</v>
      </c>
      <c r="M7" s="86">
        <f>IFERROR(IF(L7=LOOKUP(K7,Spez_Tg,Festtage),"",IF(L7&lt;&gt;"",MAX(M$5:M6)+L7,"")),"")</f>
        <v>8.4</v>
      </c>
      <c r="N7" s="84">
        <f t="shared" si="8"/>
        <v>45414</v>
      </c>
      <c r="O7" s="85">
        <f t="shared" si="9"/>
        <v>8.4</v>
      </c>
      <c r="P7" s="86">
        <f>IFERROR(IF(O7=LOOKUP(N7,Spez_Tg,Festtage),"",IF(O7&lt;&gt;"",MAX(P$5:P6)+O7,"")),"")</f>
        <v>12.600000000000001</v>
      </c>
      <c r="Q7" s="84">
        <f t="shared" si="10"/>
        <v>45445</v>
      </c>
      <c r="R7" s="85" t="str">
        <f t="shared" si="11"/>
        <v/>
      </c>
      <c r="S7" s="86" t="str">
        <f>IFERROR(IF(R7=LOOKUP(Q7,Spez_Tg,Festtage),"",IF(R7&lt;&gt;"",MAX(S$5:S6)+R7,"")),"")</f>
        <v/>
      </c>
      <c r="T7" s="87">
        <v>2</v>
      </c>
      <c r="V7" s="88" t="s">
        <v>49</v>
      </c>
      <c r="W7" s="89" t="s">
        <v>50</v>
      </c>
      <c r="X7" s="90" t="s">
        <v>51</v>
      </c>
      <c r="Y7" s="88" t="s">
        <v>52</v>
      </c>
      <c r="Z7" s="88" t="s">
        <v>89</v>
      </c>
    </row>
    <row r="8" spans="1:27" x14ac:dyDescent="0.25">
      <c r="A8" s="76">
        <v>3</v>
      </c>
      <c r="B8" s="82">
        <f t="shared" si="0"/>
        <v>45294</v>
      </c>
      <c r="C8" s="80">
        <f t="shared" si="1"/>
        <v>8.4</v>
      </c>
      <c r="D8" s="81">
        <f>IFERROR(IF(C8=LOOKUP(B8,Spez_Tg,Festtage),"",IF(C8&lt;&gt;"",MAX(D$5:D7)+C8,"")),"")</f>
        <v>8.4</v>
      </c>
      <c r="E8" s="82">
        <f t="shared" si="2"/>
        <v>45325</v>
      </c>
      <c r="F8" s="80" t="str">
        <f t="shared" si="3"/>
        <v/>
      </c>
      <c r="G8" s="81" t="str">
        <f>IFERROR(IF(F8=LOOKUP(E8,Spez_Tg,Festtage),"",IF(F8&lt;&gt;"",MAX(G$5:G7)+F8,"")),"")</f>
        <v/>
      </c>
      <c r="H8" s="82">
        <f t="shared" si="4"/>
        <v>45354</v>
      </c>
      <c r="I8" s="80" t="str">
        <f t="shared" si="5"/>
        <v/>
      </c>
      <c r="J8" s="81" t="str">
        <f>IFERROR(IF(I8=LOOKUP(H8,Spez_Tg,Festtage),"",IF(I8&lt;&gt;"",MAX(J$5:J7)+I8,"")),"")</f>
        <v/>
      </c>
      <c r="K8" s="82">
        <f t="shared" si="6"/>
        <v>45385</v>
      </c>
      <c r="L8" s="80">
        <f t="shared" si="7"/>
        <v>8.4</v>
      </c>
      <c r="M8" s="81">
        <f>IFERROR(IF(L8=LOOKUP(K8,Spez_Tg,Festtage),"",IF(L8&lt;&gt;"",MAX(M$5:M7)+L8,"")),"")</f>
        <v>16.8</v>
      </c>
      <c r="N8" s="82">
        <f t="shared" si="8"/>
        <v>45415</v>
      </c>
      <c r="O8" s="80">
        <f t="shared" si="9"/>
        <v>8.4</v>
      </c>
      <c r="P8" s="81">
        <f>IFERROR(IF(O8=LOOKUP(N8,Spez_Tg,Festtage),"",IF(O8&lt;&gt;"",MAX(P$5:P7)+O8,"")),"")</f>
        <v>21</v>
      </c>
      <c r="Q8" s="82">
        <f t="shared" si="10"/>
        <v>45446</v>
      </c>
      <c r="R8" s="80">
        <f t="shared" si="11"/>
        <v>8.4</v>
      </c>
      <c r="S8" s="81">
        <f>IFERROR(IF(R8=LOOKUP(Q8,Spez_Tg,Festtage),"",IF(R8&lt;&gt;"",MAX(S$5:S7)+R8,"")),"")</f>
        <v>8.4</v>
      </c>
      <c r="T8" s="78">
        <v>3</v>
      </c>
      <c r="V8" s="91">
        <f>DATEVALUE("1.1."&amp;Akt_Jahr)</f>
        <v>45292</v>
      </c>
      <c r="W8" s="92">
        <f t="shared" ref="W8:W21" si="12">IF(Z8="ja",0,IF(Z8="nein",W_Std/5,W_Std/5/2))</f>
        <v>0</v>
      </c>
      <c r="X8" s="93" t="s">
        <v>16</v>
      </c>
      <c r="Y8" s="94">
        <f>V8</f>
        <v>45292</v>
      </c>
      <c r="Z8" s="94" t="s">
        <v>86</v>
      </c>
      <c r="AA8" s="96"/>
    </row>
    <row r="9" spans="1:27" x14ac:dyDescent="0.25">
      <c r="A9" s="83">
        <v>4</v>
      </c>
      <c r="B9" s="84">
        <f t="shared" si="0"/>
        <v>45295</v>
      </c>
      <c r="C9" s="85">
        <f t="shared" si="1"/>
        <v>8.4</v>
      </c>
      <c r="D9" s="86">
        <f>IFERROR(IF(C9=LOOKUP(B9,Spez_Tg,Festtage),"",IF(C9&lt;&gt;"",MAX(D$5:D8)+C9,"")),"")</f>
        <v>16.8</v>
      </c>
      <c r="E9" s="84">
        <f t="shared" si="2"/>
        <v>45326</v>
      </c>
      <c r="F9" s="85" t="str">
        <f t="shared" si="3"/>
        <v/>
      </c>
      <c r="G9" s="86" t="str">
        <f>IFERROR(IF(F9=LOOKUP(E9,Spez_Tg,Festtage),"",IF(F9&lt;&gt;"",MAX(G$5:G8)+F9,"")),"")</f>
        <v/>
      </c>
      <c r="H9" s="84">
        <f t="shared" si="4"/>
        <v>45355</v>
      </c>
      <c r="I9" s="85">
        <f t="shared" si="5"/>
        <v>8.4</v>
      </c>
      <c r="J9" s="86">
        <f>IFERROR(IF(I9=LOOKUP(H9,Spez_Tg,Festtage),"",IF(I9&lt;&gt;"",MAX(J$5:J8)+I9,"")),"")</f>
        <v>16.8</v>
      </c>
      <c r="K9" s="84">
        <f t="shared" si="6"/>
        <v>45386</v>
      </c>
      <c r="L9" s="85">
        <f t="shared" si="7"/>
        <v>8.4</v>
      </c>
      <c r="M9" s="86">
        <f>IFERROR(IF(L9=LOOKUP(K9,Spez_Tg,Festtage),"",IF(L9&lt;&gt;"",MAX(M$5:M8)+L9,"")),"")</f>
        <v>25.200000000000003</v>
      </c>
      <c r="N9" s="84">
        <f t="shared" si="8"/>
        <v>45416</v>
      </c>
      <c r="O9" s="85" t="str">
        <f t="shared" si="9"/>
        <v/>
      </c>
      <c r="P9" s="86" t="str">
        <f>IFERROR(IF(O9=LOOKUP(N9,Spez_Tg,Festtage),"",IF(O9&lt;&gt;"",MAX(P$5:P8)+O9,"")),"")</f>
        <v/>
      </c>
      <c r="Q9" s="84">
        <f t="shared" si="10"/>
        <v>45447</v>
      </c>
      <c r="R9" s="85">
        <f t="shared" si="11"/>
        <v>8.4</v>
      </c>
      <c r="S9" s="86">
        <f>IFERROR(IF(R9=LOOKUP(Q9,Spez_Tg,Festtage),"",IF(R9&lt;&gt;"",MAX(S$5:S8)+R9,"")),"")</f>
        <v>16.8</v>
      </c>
      <c r="T9" s="87">
        <v>4</v>
      </c>
      <c r="V9" s="91">
        <f>DATEVALUE("2.1."&amp;Akt_Jahr)</f>
        <v>45293</v>
      </c>
      <c r="W9" s="92">
        <f t="shared" si="12"/>
        <v>0</v>
      </c>
      <c r="X9" s="93" t="s">
        <v>46</v>
      </c>
      <c r="Y9" s="94">
        <f t="shared" ref="Y9:Y21" si="13">V9</f>
        <v>45293</v>
      </c>
      <c r="Z9" s="94" t="s">
        <v>86</v>
      </c>
      <c r="AA9" s="96"/>
    </row>
    <row r="10" spans="1:27" x14ac:dyDescent="0.25">
      <c r="A10" s="76">
        <v>5</v>
      </c>
      <c r="B10" s="82">
        <f t="shared" si="0"/>
        <v>45296</v>
      </c>
      <c r="C10" s="80">
        <f t="shared" si="1"/>
        <v>8.4</v>
      </c>
      <c r="D10" s="81">
        <f>IFERROR(IF(C10=LOOKUP(B10,Spez_Tg,Festtage),"",IF(C10&lt;&gt;"",MAX(D$5:D9)+C10,"")),"")</f>
        <v>25.200000000000003</v>
      </c>
      <c r="E10" s="82">
        <f t="shared" si="2"/>
        <v>45327</v>
      </c>
      <c r="F10" s="80">
        <f t="shared" si="3"/>
        <v>8.4</v>
      </c>
      <c r="G10" s="81">
        <f>IFERROR(IF(F10=LOOKUP(E10,Spez_Tg,Festtage),"",IF(F10&lt;&gt;"",MAX(G$5:G9)+F10,"")),"")</f>
        <v>25.200000000000003</v>
      </c>
      <c r="H10" s="82">
        <f t="shared" si="4"/>
        <v>45356</v>
      </c>
      <c r="I10" s="80">
        <f t="shared" si="5"/>
        <v>8.4</v>
      </c>
      <c r="J10" s="81">
        <f>IFERROR(IF(I10=LOOKUP(H10,Spez_Tg,Festtage),"",IF(I10&lt;&gt;"",MAX(J$5:J9)+I10,"")),"")</f>
        <v>25.200000000000003</v>
      </c>
      <c r="K10" s="82">
        <f t="shared" si="6"/>
        <v>45387</v>
      </c>
      <c r="L10" s="80">
        <f t="shared" si="7"/>
        <v>8.4</v>
      </c>
      <c r="M10" s="81">
        <f>IFERROR(IF(L10=LOOKUP(K10,Spez_Tg,Festtage),"",IF(L10&lt;&gt;"",MAX(M$5:M9)+L10,"")),"")</f>
        <v>33.6</v>
      </c>
      <c r="N10" s="82">
        <f t="shared" si="8"/>
        <v>45417</v>
      </c>
      <c r="O10" s="80" t="str">
        <f t="shared" si="9"/>
        <v/>
      </c>
      <c r="P10" s="81" t="str">
        <f>IFERROR(IF(O10=LOOKUP(N10,Spez_Tg,Festtage),"",IF(O10&lt;&gt;"",MAX(P$5:P9)+O10,"")),"")</f>
        <v/>
      </c>
      <c r="Q10" s="82">
        <f t="shared" si="10"/>
        <v>45448</v>
      </c>
      <c r="R10" s="80">
        <f t="shared" si="11"/>
        <v>8.4</v>
      </c>
      <c r="S10" s="81">
        <f>IFERROR(IF(R10=LOOKUP(Q10,Spez_Tg,Festtage),"",IF(R10&lt;&gt;"",MAX(S$5:S9)+R10,"")),"")</f>
        <v>25.200000000000003</v>
      </c>
      <c r="T10" s="78">
        <v>5</v>
      </c>
      <c r="U10" s="97"/>
      <c r="V10" s="91">
        <f>V11-3</f>
        <v>45380</v>
      </c>
      <c r="W10" s="92">
        <f t="shared" si="12"/>
        <v>0</v>
      </c>
      <c r="X10" s="93" t="s">
        <v>17</v>
      </c>
      <c r="Y10" s="94">
        <f t="shared" si="13"/>
        <v>45380</v>
      </c>
      <c r="Z10" s="94" t="s">
        <v>86</v>
      </c>
      <c r="AA10" s="96"/>
    </row>
    <row r="11" spans="1:27" x14ac:dyDescent="0.25">
      <c r="A11" s="83">
        <v>6</v>
      </c>
      <c r="B11" s="84">
        <f t="shared" si="0"/>
        <v>45297</v>
      </c>
      <c r="C11" s="85" t="str">
        <f t="shared" si="1"/>
        <v/>
      </c>
      <c r="D11" s="86" t="str">
        <f>IFERROR(IF(C11=LOOKUP(B11,Spez_Tg,Festtage),"",IF(C11&lt;&gt;"",MAX(D$5:D10)+C11,"")),"")</f>
        <v/>
      </c>
      <c r="E11" s="84">
        <f t="shared" si="2"/>
        <v>45328</v>
      </c>
      <c r="F11" s="85">
        <f t="shared" si="3"/>
        <v>8.4</v>
      </c>
      <c r="G11" s="86">
        <f>IFERROR(IF(F11=LOOKUP(E11,Spez_Tg,Festtage),"",IF(F11&lt;&gt;"",MAX(G$5:G10)+F11,"")),"")</f>
        <v>33.6</v>
      </c>
      <c r="H11" s="84">
        <f t="shared" si="4"/>
        <v>45357</v>
      </c>
      <c r="I11" s="85">
        <f t="shared" si="5"/>
        <v>8.4</v>
      </c>
      <c r="J11" s="86">
        <f>IFERROR(IF(I11=LOOKUP(H11,Spez_Tg,Festtage),"",IF(I11&lt;&gt;"",MAX(J$5:J10)+I11,"")),"")</f>
        <v>33.6</v>
      </c>
      <c r="K11" s="84">
        <f t="shared" si="6"/>
        <v>45388</v>
      </c>
      <c r="L11" s="85" t="str">
        <f t="shared" si="7"/>
        <v/>
      </c>
      <c r="M11" s="86" t="str">
        <f>IFERROR(IF(L11=LOOKUP(K11,Spez_Tg,Festtage),"",IF(L11&lt;&gt;"",MAX(M$5:M10)+L11,"")),"")</f>
        <v/>
      </c>
      <c r="N11" s="84">
        <f t="shared" si="8"/>
        <v>45418</v>
      </c>
      <c r="O11" s="85">
        <f t="shared" si="9"/>
        <v>8.4</v>
      </c>
      <c r="P11" s="86">
        <f>IFERROR(IF(O11=LOOKUP(N11,Spez_Tg,Festtage),"",IF(O11&lt;&gt;"",MAX(P$5:P10)+O11,"")),"")</f>
        <v>29.4</v>
      </c>
      <c r="Q11" s="84">
        <f t="shared" si="10"/>
        <v>45449</v>
      </c>
      <c r="R11" s="85">
        <f t="shared" si="11"/>
        <v>8.4</v>
      </c>
      <c r="S11" s="86">
        <f>IFERROR(IF(R11=LOOKUP(Q11,Spez_Tg,Festtage),"",IF(R11&lt;&gt;"",MAX(S$5:S10)+R11,"")),"")</f>
        <v>33.6</v>
      </c>
      <c r="T11" s="87">
        <v>6</v>
      </c>
      <c r="U11" s="97"/>
      <c r="V11" s="98">
        <f>DATE(Akt_Jahr,3,1)+MOD((255-11*MOD(Akt_Jahr,19)-21),30)+21+(MOD((255-11*MOD(Akt_Jahr,19)-21),30) + 21&gt;48)+6-MOD(Akt_Jahr+INT((Akt_Jahr)/4)+MOD((255- 11*MOD(Akt_Jahr,19)- 21),30)+21+(MOD((255-11*MOD(Akt_Jahr,19)-21),30)+21&gt;48)+1,7)+1</f>
        <v>45383</v>
      </c>
      <c r="W11" s="92">
        <f t="shared" si="12"/>
        <v>0</v>
      </c>
      <c r="X11" s="93" t="s">
        <v>18</v>
      </c>
      <c r="Y11" s="94">
        <f t="shared" si="13"/>
        <v>45383</v>
      </c>
      <c r="Z11" s="94" t="s">
        <v>86</v>
      </c>
      <c r="AA11" s="96"/>
    </row>
    <row r="12" spans="1:27" x14ac:dyDescent="0.25">
      <c r="A12" s="76">
        <v>7</v>
      </c>
      <c r="B12" s="82">
        <f t="shared" si="0"/>
        <v>45298</v>
      </c>
      <c r="C12" s="80" t="str">
        <f t="shared" si="1"/>
        <v/>
      </c>
      <c r="D12" s="81" t="str">
        <f>IFERROR(IF(C12=LOOKUP(B12,Spez_Tg,Festtage),"",IF(C12&lt;&gt;"",MAX(D$5:D11)+C12,"")),"")</f>
        <v/>
      </c>
      <c r="E12" s="82">
        <f t="shared" si="2"/>
        <v>45329</v>
      </c>
      <c r="F12" s="80">
        <f t="shared" si="3"/>
        <v>8.4</v>
      </c>
      <c r="G12" s="81">
        <f>IFERROR(IF(F12=LOOKUP(E12,Spez_Tg,Festtage),"",IF(F12&lt;&gt;"",MAX(G$5:G11)+F12,"")),"")</f>
        <v>42</v>
      </c>
      <c r="H12" s="82">
        <f t="shared" si="4"/>
        <v>45358</v>
      </c>
      <c r="I12" s="80">
        <f t="shared" si="5"/>
        <v>8.4</v>
      </c>
      <c r="J12" s="81">
        <f>IFERROR(IF(I12=LOOKUP(H12,Spez_Tg,Festtage),"",IF(I12&lt;&gt;"",MAX(J$5:J11)+I12,"")),"")</f>
        <v>42</v>
      </c>
      <c r="K12" s="82">
        <f t="shared" si="6"/>
        <v>45389</v>
      </c>
      <c r="L12" s="80" t="str">
        <f t="shared" si="7"/>
        <v/>
      </c>
      <c r="M12" s="81" t="str">
        <f>IFERROR(IF(L12=LOOKUP(K12,Spez_Tg,Festtage),"",IF(L12&lt;&gt;"",MAX(M$5:M11)+L12,"")),"")</f>
        <v/>
      </c>
      <c r="N12" s="82">
        <f t="shared" si="8"/>
        <v>45419</v>
      </c>
      <c r="O12" s="80">
        <f t="shared" si="9"/>
        <v>8.4</v>
      </c>
      <c r="P12" s="81">
        <f>IFERROR(IF(O12=LOOKUP(N12,Spez_Tg,Festtage),"",IF(O12&lt;&gt;"",MAX(P$5:P11)+O12,"")),"")</f>
        <v>37.799999999999997</v>
      </c>
      <c r="Q12" s="82">
        <f t="shared" si="10"/>
        <v>45450</v>
      </c>
      <c r="R12" s="80">
        <f t="shared" si="11"/>
        <v>8.4</v>
      </c>
      <c r="S12" s="81">
        <f>IFERROR(IF(R12=LOOKUP(Q12,Spez_Tg,Festtage),"",IF(R12&lt;&gt;"",MAX(S$5:S11)+R12,"")),"")</f>
        <v>42</v>
      </c>
      <c r="T12" s="78">
        <v>7</v>
      </c>
      <c r="U12" s="97"/>
      <c r="V12" s="91">
        <f>DATEVALUE("01.05."&amp;Akt_Jahr)</f>
        <v>45413</v>
      </c>
      <c r="W12" s="92">
        <f t="shared" si="12"/>
        <v>4.2</v>
      </c>
      <c r="X12" s="93" t="s">
        <v>64</v>
      </c>
      <c r="Y12" s="94">
        <f>V12</f>
        <v>45413</v>
      </c>
      <c r="Z12" s="94" t="s">
        <v>88</v>
      </c>
      <c r="AA12" s="96"/>
    </row>
    <row r="13" spans="1:27" x14ac:dyDescent="0.25">
      <c r="A13" s="83">
        <v>8</v>
      </c>
      <c r="B13" s="84">
        <f t="shared" si="0"/>
        <v>45299</v>
      </c>
      <c r="C13" s="85">
        <f t="shared" si="1"/>
        <v>8.4</v>
      </c>
      <c r="D13" s="86">
        <f>IFERROR(IF(C13=LOOKUP(B13,Spez_Tg,Festtage),"",IF(C13&lt;&gt;"",MAX(D$5:D12)+C13,"")),"")</f>
        <v>33.6</v>
      </c>
      <c r="E13" s="84">
        <f t="shared" si="2"/>
        <v>45330</v>
      </c>
      <c r="F13" s="85">
        <f t="shared" si="3"/>
        <v>8.4</v>
      </c>
      <c r="G13" s="86">
        <f>IFERROR(IF(F13=LOOKUP(E13,Spez_Tg,Festtage),"",IF(F13&lt;&gt;"",MAX(G$5:G12)+F13,"")),"")</f>
        <v>50.4</v>
      </c>
      <c r="H13" s="84">
        <f t="shared" si="4"/>
        <v>45359</v>
      </c>
      <c r="I13" s="85">
        <f t="shared" si="5"/>
        <v>8.4</v>
      </c>
      <c r="J13" s="86">
        <f>IFERROR(IF(I13=LOOKUP(H13,Spez_Tg,Festtage),"",IF(I13&lt;&gt;"",MAX(J$5:J12)+I13,"")),"")</f>
        <v>50.4</v>
      </c>
      <c r="K13" s="84">
        <f t="shared" si="6"/>
        <v>45390</v>
      </c>
      <c r="L13" s="85">
        <f t="shared" si="7"/>
        <v>8.4</v>
      </c>
      <c r="M13" s="86">
        <f>IFERROR(IF(L13=LOOKUP(K13,Spez_Tg,Festtage),"",IF(L13&lt;&gt;"",MAX(M$5:M12)+L13,"")),"")</f>
        <v>42</v>
      </c>
      <c r="N13" s="84">
        <f t="shared" si="8"/>
        <v>45420</v>
      </c>
      <c r="O13" s="85">
        <f t="shared" si="9"/>
        <v>8.4</v>
      </c>
      <c r="P13" s="86">
        <f>IFERROR(IF(O13=LOOKUP(N13,Spez_Tg,Festtage),"",IF(O13&lt;&gt;"",MAX(P$5:P12)+O13,"")),"")</f>
        <v>46.199999999999996</v>
      </c>
      <c r="Q13" s="84">
        <f t="shared" si="10"/>
        <v>45451</v>
      </c>
      <c r="R13" s="85" t="str">
        <f t="shared" si="11"/>
        <v/>
      </c>
      <c r="S13" s="86" t="str">
        <f>IFERROR(IF(R13=LOOKUP(Q13,Spez_Tg,Festtage),"",IF(R13&lt;&gt;"",MAX(S$5:S12)+R13,"")),"")</f>
        <v/>
      </c>
      <c r="T13" s="87">
        <v>8</v>
      </c>
      <c r="U13" s="97"/>
      <c r="V13" s="91">
        <f>V11+38</f>
        <v>45421</v>
      </c>
      <c r="W13" s="92">
        <f t="shared" si="12"/>
        <v>0</v>
      </c>
      <c r="X13" s="93" t="s">
        <v>19</v>
      </c>
      <c r="Y13" s="94">
        <f t="shared" si="13"/>
        <v>45421</v>
      </c>
      <c r="Z13" s="94" t="s">
        <v>86</v>
      </c>
      <c r="AA13" s="96"/>
    </row>
    <row r="14" spans="1:27" x14ac:dyDescent="0.25">
      <c r="A14" s="76">
        <v>9</v>
      </c>
      <c r="B14" s="82">
        <f t="shared" si="0"/>
        <v>45300</v>
      </c>
      <c r="C14" s="80">
        <f t="shared" si="1"/>
        <v>8.4</v>
      </c>
      <c r="D14" s="81">
        <f>IFERROR(IF(C14=LOOKUP(B14,Spez_Tg,Festtage),"",IF(C14&lt;&gt;"",MAX(D$5:D13)+C14,"")),"")</f>
        <v>42</v>
      </c>
      <c r="E14" s="82">
        <f t="shared" si="2"/>
        <v>45331</v>
      </c>
      <c r="F14" s="80">
        <f t="shared" si="3"/>
        <v>8.4</v>
      </c>
      <c r="G14" s="81">
        <f>IFERROR(IF(F14=LOOKUP(E14,Spez_Tg,Festtage),"",IF(F14&lt;&gt;"",MAX(G$5:G13)+F14,"")),"")</f>
        <v>58.8</v>
      </c>
      <c r="H14" s="82">
        <f t="shared" si="4"/>
        <v>45360</v>
      </c>
      <c r="I14" s="80" t="str">
        <f t="shared" si="5"/>
        <v/>
      </c>
      <c r="J14" s="81" t="str">
        <f>IFERROR(IF(I14=LOOKUP(H14,Spez_Tg,Festtage),"",IF(I14&lt;&gt;"",MAX(J$5:J13)+I14,"")),"")</f>
        <v/>
      </c>
      <c r="K14" s="82">
        <f t="shared" si="6"/>
        <v>45391</v>
      </c>
      <c r="L14" s="80">
        <f t="shared" si="7"/>
        <v>8.4</v>
      </c>
      <c r="M14" s="81">
        <f>IFERROR(IF(L14=LOOKUP(K14,Spez_Tg,Festtage),"",IF(L14&lt;&gt;"",MAX(M$5:M13)+L14,"")),"")</f>
        <v>50.4</v>
      </c>
      <c r="N14" s="82">
        <f t="shared" si="8"/>
        <v>45421</v>
      </c>
      <c r="O14" s="80" t="str">
        <f t="shared" si="9"/>
        <v>Auffahrt</v>
      </c>
      <c r="P14" s="81" t="str">
        <f>IFERROR(IF(O14=LOOKUP(N14,Spez_Tg,Festtage),"",IF(O14&lt;&gt;"",MAX(P$5:P13)+O14,"")),"")</f>
        <v/>
      </c>
      <c r="Q14" s="82">
        <f t="shared" si="10"/>
        <v>45452</v>
      </c>
      <c r="R14" s="80" t="str">
        <f t="shared" si="11"/>
        <v/>
      </c>
      <c r="S14" s="81" t="str">
        <f>IFERROR(IF(R14=LOOKUP(Q14,Spez_Tg,Festtage),"",IF(R14&lt;&gt;"",MAX(S$5:S13)+R14,"")),"")</f>
        <v/>
      </c>
      <c r="T14" s="78">
        <v>9</v>
      </c>
      <c r="U14" s="97"/>
      <c r="V14" s="91">
        <f>V11+49</f>
        <v>45432</v>
      </c>
      <c r="W14" s="92">
        <f t="shared" si="12"/>
        <v>0</v>
      </c>
      <c r="X14" s="93" t="s">
        <v>29</v>
      </c>
      <c r="Y14" s="94">
        <f t="shared" si="13"/>
        <v>45432</v>
      </c>
      <c r="Z14" s="94" t="s">
        <v>86</v>
      </c>
      <c r="AA14" s="96"/>
    </row>
    <row r="15" spans="1:27" x14ac:dyDescent="0.25">
      <c r="A15" s="83">
        <v>10</v>
      </c>
      <c r="B15" s="84">
        <f t="shared" si="0"/>
        <v>45301</v>
      </c>
      <c r="C15" s="85">
        <f t="shared" si="1"/>
        <v>8.4</v>
      </c>
      <c r="D15" s="86">
        <f>IFERROR(IF(C15=LOOKUP(B15,Spez_Tg,Festtage),"",IF(C15&lt;&gt;"",MAX(D$5:D14)+C15,"")),"")</f>
        <v>50.4</v>
      </c>
      <c r="E15" s="84">
        <f t="shared" si="2"/>
        <v>45332</v>
      </c>
      <c r="F15" s="85" t="str">
        <f t="shared" si="3"/>
        <v/>
      </c>
      <c r="G15" s="86" t="str">
        <f>IFERROR(IF(F15=LOOKUP(E15,Spez_Tg,Festtage),"",IF(F15&lt;&gt;"",MAX(G$5:G14)+F15,"")),"")</f>
        <v/>
      </c>
      <c r="H15" s="84">
        <f t="shared" si="4"/>
        <v>45361</v>
      </c>
      <c r="I15" s="85" t="str">
        <f t="shared" si="5"/>
        <v/>
      </c>
      <c r="J15" s="86" t="str">
        <f>IFERROR(IF(I15=LOOKUP(H15,Spez_Tg,Festtage),"",IF(I15&lt;&gt;"",MAX(J$5:J14)+I15,"")),"")</f>
        <v/>
      </c>
      <c r="K15" s="84">
        <f t="shared" si="6"/>
        <v>45392</v>
      </c>
      <c r="L15" s="85">
        <f t="shared" si="7"/>
        <v>8.4</v>
      </c>
      <c r="M15" s="86">
        <f>IFERROR(IF(L15=LOOKUP(K15,Spez_Tg,Festtage),"",IF(L15&lt;&gt;"",MAX(M$5:M14)+L15,"")),"")</f>
        <v>58.8</v>
      </c>
      <c r="N15" s="84">
        <f t="shared" si="8"/>
        <v>45422</v>
      </c>
      <c r="O15" s="85">
        <f t="shared" si="9"/>
        <v>8.4</v>
      </c>
      <c r="P15" s="86">
        <f>IFERROR(IF(O15=LOOKUP(N15,Spez_Tg,Festtage),"",IF(O15&lt;&gt;"",MAX(P$5:P14)+O15,"")),"")</f>
        <v>54.599999999999994</v>
      </c>
      <c r="Q15" s="84">
        <f t="shared" si="10"/>
        <v>45453</v>
      </c>
      <c r="R15" s="85">
        <f t="shared" si="11"/>
        <v>8.4</v>
      </c>
      <c r="S15" s="86">
        <f>IFERROR(IF(R15=LOOKUP(Q15,Spez_Tg,Festtage),"",IF(R15&lt;&gt;"",MAX(S$5:S14)+R15,"")),"")</f>
        <v>50.4</v>
      </c>
      <c r="T15" s="87">
        <v>10</v>
      </c>
      <c r="U15" s="97"/>
      <c r="V15" s="91">
        <f>DATEVALUE("01.08."&amp;Akt_Jahr)</f>
        <v>45505</v>
      </c>
      <c r="W15" s="92">
        <f t="shared" si="12"/>
        <v>0</v>
      </c>
      <c r="X15" s="100" t="s">
        <v>26</v>
      </c>
      <c r="Y15" s="94">
        <f t="shared" si="13"/>
        <v>45505</v>
      </c>
      <c r="Z15" s="94" t="s">
        <v>86</v>
      </c>
      <c r="AA15" s="96"/>
    </row>
    <row r="16" spans="1:27" x14ac:dyDescent="0.25">
      <c r="A16" s="76">
        <v>11</v>
      </c>
      <c r="B16" s="82">
        <f t="shared" si="0"/>
        <v>45302</v>
      </c>
      <c r="C16" s="80">
        <f t="shared" si="1"/>
        <v>8.4</v>
      </c>
      <c r="D16" s="81">
        <f>IFERROR(IF(C16=LOOKUP(B16,Spez_Tg,Festtage),"",IF(C16&lt;&gt;"",MAX(D$5:D15)+C16,"")),"")</f>
        <v>58.8</v>
      </c>
      <c r="E16" s="82">
        <f t="shared" si="2"/>
        <v>45333</v>
      </c>
      <c r="F16" s="80" t="str">
        <f t="shared" si="3"/>
        <v/>
      </c>
      <c r="G16" s="81" t="str">
        <f>IFERROR(IF(F16=LOOKUP(E16,Spez_Tg,Festtage),"",IF(F16&lt;&gt;"",MAX(G$5:G15)+F16,"")),"")</f>
        <v/>
      </c>
      <c r="H16" s="82">
        <f t="shared" si="4"/>
        <v>45362</v>
      </c>
      <c r="I16" s="80">
        <f t="shared" si="5"/>
        <v>8.4</v>
      </c>
      <c r="J16" s="81">
        <f>IFERROR(IF(I16=LOOKUP(H16,Spez_Tg,Festtage),"",IF(I16&lt;&gt;"",MAX(J$5:J15)+I16,"")),"")</f>
        <v>58.8</v>
      </c>
      <c r="K16" s="82">
        <f t="shared" si="6"/>
        <v>45393</v>
      </c>
      <c r="L16" s="80">
        <f t="shared" si="7"/>
        <v>8.4</v>
      </c>
      <c r="M16" s="81">
        <f>IFERROR(IF(L16=LOOKUP(K16,Spez_Tg,Festtage),"",IF(L16&lt;&gt;"",MAX(M$5:M15)+L16,"")),"")</f>
        <v>67.2</v>
      </c>
      <c r="N16" s="82">
        <f t="shared" si="8"/>
        <v>45423</v>
      </c>
      <c r="O16" s="80" t="str">
        <f t="shared" si="9"/>
        <v/>
      </c>
      <c r="P16" s="81" t="str">
        <f>IFERROR(IF(O16=LOOKUP(N16,Spez_Tg,Festtage),"",IF(O16&lt;&gt;"",MAX(P$5:P15)+O16,"")),"")</f>
        <v/>
      </c>
      <c r="Q16" s="82">
        <f t="shared" si="10"/>
        <v>45454</v>
      </c>
      <c r="R16" s="80">
        <f t="shared" si="11"/>
        <v>8.4</v>
      </c>
      <c r="S16" s="81">
        <f>IFERROR(IF(R16=LOOKUP(Q16,Spez_Tg,Festtage),"",IF(R16&lt;&gt;"",MAX(S$5:S15)+R16,"")),"")</f>
        <v>58.8</v>
      </c>
      <c r="T16" s="78">
        <v>11</v>
      </c>
      <c r="U16" s="97"/>
      <c r="V16" s="91">
        <f>DATEVALUE("01.11."&amp;Akt_Jahr)</f>
        <v>45597</v>
      </c>
      <c r="W16" s="92">
        <f t="shared" si="12"/>
        <v>0</v>
      </c>
      <c r="X16" s="93" t="s">
        <v>20</v>
      </c>
      <c r="Y16" s="94">
        <f t="shared" si="13"/>
        <v>45597</v>
      </c>
      <c r="Z16" s="94" t="s">
        <v>86</v>
      </c>
      <c r="AA16" s="101"/>
    </row>
    <row r="17" spans="1:27" x14ac:dyDescent="0.25">
      <c r="A17" s="83">
        <v>12</v>
      </c>
      <c r="B17" s="84">
        <f t="shared" si="0"/>
        <v>45303</v>
      </c>
      <c r="C17" s="85">
        <f t="shared" si="1"/>
        <v>8.4</v>
      </c>
      <c r="D17" s="86">
        <f>IFERROR(IF(C17=LOOKUP(B17,Spez_Tg,Festtage),"",IF(C17&lt;&gt;"",MAX(D$5:D16)+C17,"")),"")</f>
        <v>67.2</v>
      </c>
      <c r="E17" s="84">
        <f t="shared" si="2"/>
        <v>45334</v>
      </c>
      <c r="F17" s="85">
        <f t="shared" si="3"/>
        <v>8.4</v>
      </c>
      <c r="G17" s="86">
        <f>IFERROR(IF(F17=LOOKUP(E17,Spez_Tg,Festtage),"",IF(F17&lt;&gt;"",MAX(G$5:G16)+F17,"")),"")</f>
        <v>67.2</v>
      </c>
      <c r="H17" s="84">
        <f t="shared" si="4"/>
        <v>45363</v>
      </c>
      <c r="I17" s="85">
        <f t="shared" si="5"/>
        <v>8.4</v>
      </c>
      <c r="J17" s="86">
        <f>IFERROR(IF(I17=LOOKUP(H17,Spez_Tg,Festtage),"",IF(I17&lt;&gt;"",MAX(J$5:J16)+I17,"")),"")</f>
        <v>67.2</v>
      </c>
      <c r="K17" s="84">
        <f t="shared" si="6"/>
        <v>45394</v>
      </c>
      <c r="L17" s="85">
        <f t="shared" si="7"/>
        <v>8.4</v>
      </c>
      <c r="M17" s="86">
        <f>IFERROR(IF(L17=LOOKUP(K17,Spez_Tg,Festtage),"",IF(L17&lt;&gt;"",MAX(M$5:M16)+L17,"")),"")</f>
        <v>75.600000000000009</v>
      </c>
      <c r="N17" s="84">
        <f t="shared" si="8"/>
        <v>45424</v>
      </c>
      <c r="O17" s="85" t="str">
        <f t="shared" si="9"/>
        <v/>
      </c>
      <c r="P17" s="86" t="str">
        <f>IFERROR(IF(O17=LOOKUP(N17,Spez_Tg,Festtage),"",IF(O17&lt;&gt;"",MAX(P$5:P16)+O17,"")),"")</f>
        <v/>
      </c>
      <c r="Q17" s="84">
        <f t="shared" si="10"/>
        <v>45455</v>
      </c>
      <c r="R17" s="85">
        <f t="shared" si="11"/>
        <v>8.4</v>
      </c>
      <c r="S17" s="86">
        <f>IFERROR(IF(R17=LOOKUP(Q17,Spez_Tg,Festtage),"",IF(R17&lt;&gt;"",MAX(S$5:S16)+R17,"")),"")</f>
        <v>67.2</v>
      </c>
      <c r="T17" s="87">
        <v>12</v>
      </c>
      <c r="U17" s="97"/>
      <c r="V17" s="91">
        <f>DATEVALUE("24.12."&amp;Akt_Jahr)</f>
        <v>45650</v>
      </c>
      <c r="W17" s="92">
        <f t="shared" si="12"/>
        <v>4.2</v>
      </c>
      <c r="X17" s="93" t="s">
        <v>53</v>
      </c>
      <c r="Y17" s="94">
        <f t="shared" si="13"/>
        <v>45650</v>
      </c>
      <c r="Z17" s="94" t="s">
        <v>88</v>
      </c>
      <c r="AA17" s="102"/>
    </row>
    <row r="18" spans="1:27" x14ac:dyDescent="0.25">
      <c r="A18" s="76">
        <v>13</v>
      </c>
      <c r="B18" s="82">
        <f t="shared" si="0"/>
        <v>45304</v>
      </c>
      <c r="C18" s="80" t="str">
        <f t="shared" si="1"/>
        <v/>
      </c>
      <c r="D18" s="81" t="str">
        <f>IFERROR(IF(C18=LOOKUP(B18,Spez_Tg,Festtage),"",IF(C18&lt;&gt;"",MAX(D$5:D17)+C18,"")),"")</f>
        <v/>
      </c>
      <c r="E18" s="82">
        <f t="shared" si="2"/>
        <v>45335</v>
      </c>
      <c r="F18" s="80">
        <f t="shared" si="3"/>
        <v>8.4</v>
      </c>
      <c r="G18" s="81">
        <f>IFERROR(IF(F18=LOOKUP(E18,Spez_Tg,Festtage),"",IF(F18&lt;&gt;"",MAX(G$5:G17)+F18,"")),"")</f>
        <v>75.600000000000009</v>
      </c>
      <c r="H18" s="82">
        <f t="shared" si="4"/>
        <v>45364</v>
      </c>
      <c r="I18" s="80">
        <f t="shared" si="5"/>
        <v>8.4</v>
      </c>
      <c r="J18" s="81">
        <f>IFERROR(IF(I18=LOOKUP(H18,Spez_Tg,Festtage),"",IF(I18&lt;&gt;"",MAX(J$5:J17)+I18,"")),"")</f>
        <v>75.600000000000009</v>
      </c>
      <c r="K18" s="82">
        <f t="shared" si="6"/>
        <v>45395</v>
      </c>
      <c r="L18" s="80" t="str">
        <f t="shared" si="7"/>
        <v/>
      </c>
      <c r="M18" s="81" t="str">
        <f>IFERROR(IF(L18=LOOKUP(K18,Spez_Tg,Festtage),"",IF(L18&lt;&gt;"",MAX(M$5:M17)+L18,"")),"")</f>
        <v/>
      </c>
      <c r="N18" s="82">
        <f t="shared" si="8"/>
        <v>45425</v>
      </c>
      <c r="O18" s="80">
        <f t="shared" si="9"/>
        <v>8.4</v>
      </c>
      <c r="P18" s="81">
        <f>IFERROR(IF(O18=LOOKUP(N18,Spez_Tg,Festtage),"",IF(O18&lt;&gt;"",MAX(P$5:P17)+O18,"")),"")</f>
        <v>62.999999999999993</v>
      </c>
      <c r="Q18" s="82">
        <f t="shared" si="10"/>
        <v>45456</v>
      </c>
      <c r="R18" s="80">
        <f t="shared" si="11"/>
        <v>8.4</v>
      </c>
      <c r="S18" s="81">
        <f>IFERROR(IF(R18=LOOKUP(Q18,Spez_Tg,Festtage),"",IF(R18&lt;&gt;"",MAX(S$5:S17)+R18,"")),"")</f>
        <v>75.600000000000009</v>
      </c>
      <c r="T18" s="78">
        <v>13</v>
      </c>
      <c r="U18" s="97"/>
      <c r="V18" s="91">
        <f>DATEVALUE("25.12."&amp;Akt_Jahr)</f>
        <v>45651</v>
      </c>
      <c r="W18" s="92">
        <f t="shared" si="12"/>
        <v>0</v>
      </c>
      <c r="X18" s="93" t="s">
        <v>47</v>
      </c>
      <c r="Y18" s="94">
        <f t="shared" si="13"/>
        <v>45651</v>
      </c>
      <c r="Z18" s="94" t="s">
        <v>86</v>
      </c>
      <c r="AA18" s="102"/>
    </row>
    <row r="19" spans="1:27" x14ac:dyDescent="0.25">
      <c r="A19" s="83">
        <v>14</v>
      </c>
      <c r="B19" s="84">
        <f t="shared" si="0"/>
        <v>45305</v>
      </c>
      <c r="C19" s="85" t="str">
        <f t="shared" si="1"/>
        <v/>
      </c>
      <c r="D19" s="86" t="str">
        <f>IFERROR(IF(C19=LOOKUP(B19,Spez_Tg,Festtage),"",IF(C19&lt;&gt;"",MAX(D$5:D18)+C19,"")),"")</f>
        <v/>
      </c>
      <c r="E19" s="84">
        <f t="shared" si="2"/>
        <v>45336</v>
      </c>
      <c r="F19" s="85">
        <f t="shared" si="3"/>
        <v>8.4</v>
      </c>
      <c r="G19" s="86">
        <f>IFERROR(IF(F19=LOOKUP(E19,Spez_Tg,Festtage),"",IF(F19&lt;&gt;"",MAX(G$5:G18)+F19,"")),"")</f>
        <v>84.000000000000014</v>
      </c>
      <c r="H19" s="84">
        <f t="shared" si="4"/>
        <v>45365</v>
      </c>
      <c r="I19" s="85">
        <f t="shared" si="5"/>
        <v>8.4</v>
      </c>
      <c r="J19" s="86">
        <f>IFERROR(IF(I19=LOOKUP(H19,Spez_Tg,Festtage),"",IF(I19&lt;&gt;"",MAX(J$5:J18)+I19,"")),"")</f>
        <v>84.000000000000014</v>
      </c>
      <c r="K19" s="84">
        <f t="shared" si="6"/>
        <v>45396</v>
      </c>
      <c r="L19" s="85" t="str">
        <f t="shared" si="7"/>
        <v/>
      </c>
      <c r="M19" s="86" t="str">
        <f>IFERROR(IF(L19=LOOKUP(K19,Spez_Tg,Festtage),"",IF(L19&lt;&gt;"",MAX(M$5:M18)+L19,"")),"")</f>
        <v/>
      </c>
      <c r="N19" s="84">
        <f t="shared" si="8"/>
        <v>45426</v>
      </c>
      <c r="O19" s="85">
        <f t="shared" si="9"/>
        <v>8.4</v>
      </c>
      <c r="P19" s="86">
        <f>IFERROR(IF(O19=LOOKUP(N19,Spez_Tg,Festtage),"",IF(O19&lt;&gt;"",MAX(P$5:P18)+O19,"")),"")</f>
        <v>71.399999999999991</v>
      </c>
      <c r="Q19" s="84">
        <f t="shared" si="10"/>
        <v>45457</v>
      </c>
      <c r="R19" s="85">
        <f t="shared" si="11"/>
        <v>8.4</v>
      </c>
      <c r="S19" s="86">
        <f>IFERROR(IF(R19=LOOKUP(Q19,Spez_Tg,Festtage),"",IF(R19&lt;&gt;"",MAX(S$5:S18)+R19,"")),"")</f>
        <v>84.000000000000014</v>
      </c>
      <c r="T19" s="87">
        <v>14</v>
      </c>
      <c r="U19" s="97"/>
      <c r="V19" s="91">
        <f>DATEVALUE("26.12."&amp;Akt_Jahr)</f>
        <v>45652</v>
      </c>
      <c r="W19" s="92">
        <f t="shared" si="12"/>
        <v>0</v>
      </c>
      <c r="X19" s="93" t="s">
        <v>21</v>
      </c>
      <c r="Y19" s="94">
        <f t="shared" si="13"/>
        <v>45652</v>
      </c>
      <c r="Z19" s="94" t="s">
        <v>86</v>
      </c>
      <c r="AA19" s="102"/>
    </row>
    <row r="20" spans="1:27" x14ac:dyDescent="0.25">
      <c r="A20" s="76">
        <v>15</v>
      </c>
      <c r="B20" s="82">
        <f t="shared" si="0"/>
        <v>45306</v>
      </c>
      <c r="C20" s="80">
        <f t="shared" si="1"/>
        <v>8.4</v>
      </c>
      <c r="D20" s="81">
        <f>IFERROR(IF(C20=LOOKUP(B20,Spez_Tg,Festtage),"",IF(C20&lt;&gt;"",MAX(D$5:D19)+C20,"")),"")</f>
        <v>75.600000000000009</v>
      </c>
      <c r="E20" s="82">
        <f t="shared" si="2"/>
        <v>45337</v>
      </c>
      <c r="F20" s="80">
        <f t="shared" si="3"/>
        <v>8.4</v>
      </c>
      <c r="G20" s="81">
        <f>IFERROR(IF(F20=LOOKUP(E20,Spez_Tg,Festtage),"",IF(F20&lt;&gt;"",MAX(G$5:G19)+F20,"")),"")</f>
        <v>92.40000000000002</v>
      </c>
      <c r="H20" s="82">
        <f t="shared" si="4"/>
        <v>45366</v>
      </c>
      <c r="I20" s="80">
        <f t="shared" si="5"/>
        <v>8.4</v>
      </c>
      <c r="J20" s="81">
        <f>IFERROR(IF(I20=LOOKUP(H20,Spez_Tg,Festtage),"",IF(I20&lt;&gt;"",MAX(J$5:J19)+I20,"")),"")</f>
        <v>92.40000000000002</v>
      </c>
      <c r="K20" s="82">
        <f t="shared" si="6"/>
        <v>45397</v>
      </c>
      <c r="L20" s="80">
        <f t="shared" si="7"/>
        <v>8.4</v>
      </c>
      <c r="M20" s="81">
        <f>IFERROR(IF(L20=LOOKUP(K20,Spez_Tg,Festtage),"",IF(L20&lt;&gt;"",MAX(M$5:M19)+L20,"")),"")</f>
        <v>84.000000000000014</v>
      </c>
      <c r="N20" s="82">
        <f t="shared" si="8"/>
        <v>45427</v>
      </c>
      <c r="O20" s="80">
        <f t="shared" si="9"/>
        <v>8.4</v>
      </c>
      <c r="P20" s="81">
        <f>IFERROR(IF(O20=LOOKUP(N20,Spez_Tg,Festtage),"",IF(O20&lt;&gt;"",MAX(P$5:P19)+O20,"")),"")</f>
        <v>79.8</v>
      </c>
      <c r="Q20" s="82">
        <f t="shared" si="10"/>
        <v>45458</v>
      </c>
      <c r="R20" s="80" t="str">
        <f t="shared" si="11"/>
        <v/>
      </c>
      <c r="S20" s="81" t="str">
        <f>IFERROR(IF(R20=LOOKUP(Q20,Spez_Tg,Festtage),"",IF(R20&lt;&gt;"",MAX(S$5:S19)+R20,"")),"")</f>
        <v/>
      </c>
      <c r="T20" s="78">
        <v>15</v>
      </c>
      <c r="U20" s="97"/>
      <c r="V20" s="91">
        <f>DATEVALUE("27.12."&amp;Akt_Jahr)</f>
        <v>45653</v>
      </c>
      <c r="W20" s="92">
        <f t="shared" si="12"/>
        <v>0</v>
      </c>
      <c r="X20" s="93" t="s">
        <v>65</v>
      </c>
      <c r="Y20" s="94">
        <f>V20</f>
        <v>45653</v>
      </c>
      <c r="Z20" s="94" t="s">
        <v>86</v>
      </c>
      <c r="AA20" s="102"/>
    </row>
    <row r="21" spans="1:27" x14ac:dyDescent="0.25">
      <c r="A21" s="83">
        <v>16</v>
      </c>
      <c r="B21" s="84">
        <f t="shared" si="0"/>
        <v>45307</v>
      </c>
      <c r="C21" s="85">
        <f t="shared" si="1"/>
        <v>8.4</v>
      </c>
      <c r="D21" s="86">
        <f>IFERROR(IF(C21=LOOKUP(B21,Spez_Tg,Festtage),"",IF(C21&lt;&gt;"",MAX(D$5:D20)+C21,"")),"")</f>
        <v>84.000000000000014</v>
      </c>
      <c r="E21" s="84">
        <f t="shared" si="2"/>
        <v>45338</v>
      </c>
      <c r="F21" s="85">
        <f t="shared" si="3"/>
        <v>8.4</v>
      </c>
      <c r="G21" s="86">
        <f>IFERROR(IF(F21=LOOKUP(E21,Spez_Tg,Festtage),"",IF(F21&lt;&gt;"",MAX(G$5:G20)+F21,"")),"")</f>
        <v>100.80000000000003</v>
      </c>
      <c r="H21" s="84">
        <f t="shared" si="4"/>
        <v>45367</v>
      </c>
      <c r="I21" s="85" t="str">
        <f t="shared" si="5"/>
        <v/>
      </c>
      <c r="J21" s="86" t="str">
        <f>IFERROR(IF(I21=LOOKUP(H21,Spez_Tg,Festtage),"",IF(I21&lt;&gt;"",MAX(J$5:J20)+I21,"")),"")</f>
        <v/>
      </c>
      <c r="K21" s="84">
        <f t="shared" si="6"/>
        <v>45398</v>
      </c>
      <c r="L21" s="85">
        <f t="shared" si="7"/>
        <v>8.4</v>
      </c>
      <c r="M21" s="86">
        <f>IFERROR(IF(L21=LOOKUP(K21,Spez_Tg,Festtage),"",IF(L21&lt;&gt;"",MAX(M$5:M20)+L21,"")),"")</f>
        <v>92.40000000000002</v>
      </c>
      <c r="N21" s="84">
        <f t="shared" si="8"/>
        <v>45428</v>
      </c>
      <c r="O21" s="85">
        <f t="shared" si="9"/>
        <v>8.4</v>
      </c>
      <c r="P21" s="86">
        <f>IFERROR(IF(O21=LOOKUP(N21,Spez_Tg,Festtage),"",IF(O21&lt;&gt;"",MAX(P$5:P20)+O21,"")),"")</f>
        <v>88.2</v>
      </c>
      <c r="Q21" s="84">
        <f t="shared" si="10"/>
        <v>45459</v>
      </c>
      <c r="R21" s="85" t="str">
        <f t="shared" si="11"/>
        <v/>
      </c>
      <c r="S21" s="86" t="str">
        <f>IFERROR(IF(R21=LOOKUP(Q21,Spez_Tg,Festtage),"",IF(R21&lt;&gt;"",MAX(S$5:S20)+R21,"")),"")</f>
        <v/>
      </c>
      <c r="T21" s="87">
        <v>16</v>
      </c>
      <c r="U21" s="97"/>
      <c r="V21" s="91">
        <f>DATEVALUE("31.12."&amp;Akt_Jahr)</f>
        <v>45657</v>
      </c>
      <c r="W21" s="92">
        <f t="shared" si="12"/>
        <v>4.2</v>
      </c>
      <c r="X21" s="93" t="s">
        <v>54</v>
      </c>
      <c r="Y21" s="94">
        <f t="shared" si="13"/>
        <v>45657</v>
      </c>
      <c r="Z21" s="94" t="s">
        <v>88</v>
      </c>
      <c r="AA21" s="102"/>
    </row>
    <row r="22" spans="1:27" x14ac:dyDescent="0.25">
      <c r="A22" s="76">
        <v>17</v>
      </c>
      <c r="B22" s="82">
        <f t="shared" si="0"/>
        <v>45308</v>
      </c>
      <c r="C22" s="80">
        <f t="shared" si="1"/>
        <v>8.4</v>
      </c>
      <c r="D22" s="81">
        <f>IFERROR(IF(C22=LOOKUP(B22,Spez_Tg,Festtage),"",IF(C22&lt;&gt;"",MAX(D$5:D21)+C22,"")),"")</f>
        <v>92.40000000000002</v>
      </c>
      <c r="E22" s="82">
        <f t="shared" si="2"/>
        <v>45339</v>
      </c>
      <c r="F22" s="80" t="str">
        <f t="shared" si="3"/>
        <v/>
      </c>
      <c r="G22" s="81" t="str">
        <f>IFERROR(IF(F22=LOOKUP(E22,Spez_Tg,Festtage),"",IF(F22&lt;&gt;"",MAX(G$5:G21)+F22,"")),"")</f>
        <v/>
      </c>
      <c r="H22" s="82">
        <f t="shared" si="4"/>
        <v>45368</v>
      </c>
      <c r="I22" s="80" t="str">
        <f t="shared" si="5"/>
        <v/>
      </c>
      <c r="J22" s="81" t="str">
        <f>IFERROR(IF(I22=LOOKUP(H22,Spez_Tg,Festtage),"",IF(I22&lt;&gt;"",MAX(J$5:J21)+I22,"")),"")</f>
        <v/>
      </c>
      <c r="K22" s="82">
        <f t="shared" si="6"/>
        <v>45399</v>
      </c>
      <c r="L22" s="80">
        <f t="shared" si="7"/>
        <v>8.4</v>
      </c>
      <c r="M22" s="81">
        <f>IFERROR(IF(L22=LOOKUP(K22,Spez_Tg,Festtage),"",IF(L22&lt;&gt;"",MAX(M$5:M21)+L22,"")),"")</f>
        <v>100.80000000000003</v>
      </c>
      <c r="N22" s="82">
        <f t="shared" si="8"/>
        <v>45429</v>
      </c>
      <c r="O22" s="80">
        <f t="shared" si="9"/>
        <v>8.4</v>
      </c>
      <c r="P22" s="81">
        <f>IFERROR(IF(O22=LOOKUP(N22,Spez_Tg,Festtage),"",IF(O22&lt;&gt;"",MAX(P$5:P21)+O22,"")),"")</f>
        <v>96.600000000000009</v>
      </c>
      <c r="Q22" s="82">
        <f t="shared" si="10"/>
        <v>45460</v>
      </c>
      <c r="R22" s="80">
        <f t="shared" si="11"/>
        <v>8.4</v>
      </c>
      <c r="S22" s="81">
        <f>IFERROR(IF(R22=LOOKUP(Q22,Spez_Tg,Festtage),"",IF(R22&lt;&gt;"",MAX(S$5:S21)+R22,"")),"")</f>
        <v>92.40000000000002</v>
      </c>
      <c r="T22" s="78">
        <v>17</v>
      </c>
      <c r="V22" s="91"/>
      <c r="W22" s="103"/>
      <c r="X22" s="104"/>
      <c r="Y22" s="105"/>
      <c r="Z22" s="105"/>
      <c r="AA22" s="106"/>
    </row>
    <row r="23" spans="1:27" x14ac:dyDescent="0.25">
      <c r="A23" s="83">
        <v>18</v>
      </c>
      <c r="B23" s="84">
        <f t="shared" si="0"/>
        <v>45309</v>
      </c>
      <c r="C23" s="85">
        <f t="shared" si="1"/>
        <v>8.4</v>
      </c>
      <c r="D23" s="86">
        <f>IFERROR(IF(C23=LOOKUP(B23,Spez_Tg,Festtage),"",IF(C23&lt;&gt;"",MAX(D$5:D22)+C23,"")),"")</f>
        <v>100.80000000000003</v>
      </c>
      <c r="E23" s="84">
        <f t="shared" si="2"/>
        <v>45340</v>
      </c>
      <c r="F23" s="85" t="str">
        <f t="shared" si="3"/>
        <v/>
      </c>
      <c r="G23" s="86" t="str">
        <f>IFERROR(IF(F23=LOOKUP(E23,Spez_Tg,Festtage),"",IF(F23&lt;&gt;"",MAX(G$5:G22)+F23,"")),"")</f>
        <v/>
      </c>
      <c r="H23" s="84">
        <f t="shared" si="4"/>
        <v>45369</v>
      </c>
      <c r="I23" s="85">
        <f t="shared" si="5"/>
        <v>8.4</v>
      </c>
      <c r="J23" s="86">
        <f>IFERROR(IF(I23=LOOKUP(H23,Spez_Tg,Festtage),"",IF(I23&lt;&gt;"",MAX(J$5:J22)+I23,"")),"")</f>
        <v>100.80000000000003</v>
      </c>
      <c r="K23" s="84">
        <f t="shared" si="6"/>
        <v>45400</v>
      </c>
      <c r="L23" s="85">
        <f t="shared" si="7"/>
        <v>8.4</v>
      </c>
      <c r="M23" s="86">
        <f>IFERROR(IF(L23=LOOKUP(K23,Spez_Tg,Festtage),"",IF(L23&lt;&gt;"",MAX(M$5:M22)+L23,"")),"")</f>
        <v>109.20000000000003</v>
      </c>
      <c r="N23" s="84">
        <f t="shared" si="8"/>
        <v>45430</v>
      </c>
      <c r="O23" s="85" t="str">
        <f t="shared" si="9"/>
        <v/>
      </c>
      <c r="P23" s="86" t="str">
        <f>IFERROR(IF(O23=LOOKUP(N23,Spez_Tg,Festtage),"",IF(O23&lt;&gt;"",MAX(P$5:P22)+O23,"")),"")</f>
        <v/>
      </c>
      <c r="Q23" s="84">
        <f t="shared" si="10"/>
        <v>45461</v>
      </c>
      <c r="R23" s="85">
        <f t="shared" si="11"/>
        <v>8.4</v>
      </c>
      <c r="S23" s="86">
        <f>IFERROR(IF(R23=LOOKUP(Q23,Spez_Tg,Festtage),"",IF(R23&lt;&gt;"",MAX(S$5:S22)+R23,"")),"")</f>
        <v>100.80000000000003</v>
      </c>
      <c r="T23" s="87">
        <v>18</v>
      </c>
      <c r="V23" s="98"/>
      <c r="W23" s="107"/>
      <c r="X23" s="104"/>
      <c r="Y23" s="108"/>
      <c r="Z23" s="108"/>
      <c r="AA23" s="102"/>
    </row>
    <row r="24" spans="1:27" x14ac:dyDescent="0.25">
      <c r="A24" s="76">
        <v>19</v>
      </c>
      <c r="B24" s="82">
        <f t="shared" si="0"/>
        <v>45310</v>
      </c>
      <c r="C24" s="80">
        <f t="shared" si="1"/>
        <v>8.4</v>
      </c>
      <c r="D24" s="81">
        <f>IFERROR(IF(C24=LOOKUP(B24,Spez_Tg,Festtage),"",IF(C24&lt;&gt;"",MAX(D$5:D23)+C24,"")),"")</f>
        <v>109.20000000000003</v>
      </c>
      <c r="E24" s="82">
        <f t="shared" si="2"/>
        <v>45341</v>
      </c>
      <c r="F24" s="80">
        <f t="shared" si="3"/>
        <v>8.4</v>
      </c>
      <c r="G24" s="81">
        <f>IFERROR(IF(F24=LOOKUP(E24,Spez_Tg,Festtage),"",IF(F24&lt;&gt;"",MAX(G$5:G23)+F24,"")),"")</f>
        <v>109.20000000000003</v>
      </c>
      <c r="H24" s="82">
        <f t="shared" si="4"/>
        <v>45370</v>
      </c>
      <c r="I24" s="80">
        <f t="shared" si="5"/>
        <v>8.4</v>
      </c>
      <c r="J24" s="81">
        <f>IFERROR(IF(I24=LOOKUP(H24,Spez_Tg,Festtage),"",IF(I24&lt;&gt;"",MAX(J$5:J23)+I24,"")),"")</f>
        <v>109.20000000000003</v>
      </c>
      <c r="K24" s="82">
        <f t="shared" si="6"/>
        <v>45401</v>
      </c>
      <c r="L24" s="80">
        <f t="shared" si="7"/>
        <v>8.4</v>
      </c>
      <c r="M24" s="81">
        <f>IFERROR(IF(L24=LOOKUP(K24,Spez_Tg,Festtage),"",IF(L24&lt;&gt;"",MAX(M$5:M23)+L24,"")),"")</f>
        <v>117.60000000000004</v>
      </c>
      <c r="N24" s="82">
        <f t="shared" si="8"/>
        <v>45431</v>
      </c>
      <c r="O24" s="80" t="str">
        <f t="shared" si="9"/>
        <v/>
      </c>
      <c r="P24" s="81" t="str">
        <f>IFERROR(IF(O24=LOOKUP(N24,Spez_Tg,Festtage),"",IF(O24&lt;&gt;"",MAX(P$5:P23)+O24,"")),"")</f>
        <v/>
      </c>
      <c r="Q24" s="82">
        <f t="shared" si="10"/>
        <v>45462</v>
      </c>
      <c r="R24" s="80">
        <f t="shared" si="11"/>
        <v>8.4</v>
      </c>
      <c r="S24" s="81">
        <f>IFERROR(IF(R24=LOOKUP(Q24,Spez_Tg,Festtage),"",IF(R24&lt;&gt;"",MAX(S$5:S23)+R24,"")),"")</f>
        <v>109.20000000000003</v>
      </c>
      <c r="T24" s="78">
        <v>19</v>
      </c>
      <c r="V24" s="109"/>
      <c r="W24" s="110"/>
      <c r="X24" s="103"/>
      <c r="Y24" s="105"/>
      <c r="Z24" s="105"/>
      <c r="AA24" s="102"/>
    </row>
    <row r="25" spans="1:27" x14ac:dyDescent="0.25">
      <c r="A25" s="83">
        <v>20</v>
      </c>
      <c r="B25" s="84">
        <f t="shared" si="0"/>
        <v>45311</v>
      </c>
      <c r="C25" s="85" t="str">
        <f t="shared" si="1"/>
        <v/>
      </c>
      <c r="D25" s="86" t="str">
        <f>IFERROR(IF(C25=LOOKUP(B25,Spez_Tg,Festtage),"",IF(C25&lt;&gt;"",MAX(D$5:D24)+C25,"")),"")</f>
        <v/>
      </c>
      <c r="E25" s="84">
        <f t="shared" si="2"/>
        <v>45342</v>
      </c>
      <c r="F25" s="85">
        <f t="shared" si="3"/>
        <v>8.4</v>
      </c>
      <c r="G25" s="86">
        <f>IFERROR(IF(F25=LOOKUP(E25,Spez_Tg,Festtage),"",IF(F25&lt;&gt;"",MAX(G$5:G24)+F25,"")),"")</f>
        <v>117.60000000000004</v>
      </c>
      <c r="H25" s="84">
        <f t="shared" si="4"/>
        <v>45371</v>
      </c>
      <c r="I25" s="85">
        <f t="shared" si="5"/>
        <v>8.4</v>
      </c>
      <c r="J25" s="86">
        <f>IFERROR(IF(I25=LOOKUP(H25,Spez_Tg,Festtage),"",IF(I25&lt;&gt;"",MAX(J$5:J24)+I25,"")),"")</f>
        <v>117.60000000000004</v>
      </c>
      <c r="K25" s="84">
        <f t="shared" si="6"/>
        <v>45402</v>
      </c>
      <c r="L25" s="85" t="str">
        <f t="shared" si="7"/>
        <v/>
      </c>
      <c r="M25" s="86" t="str">
        <f>IFERROR(IF(L25=LOOKUP(K25,Spez_Tg,Festtage),"",IF(L25&lt;&gt;"",MAX(M$5:M24)+L25,"")),"")</f>
        <v/>
      </c>
      <c r="N25" s="84">
        <f t="shared" si="8"/>
        <v>45432</v>
      </c>
      <c r="O25" s="85" t="str">
        <f t="shared" si="9"/>
        <v>Pfingstmontag</v>
      </c>
      <c r="P25" s="86" t="str">
        <f>IFERROR(IF(O25=LOOKUP(N25,Spez_Tg,Festtage),"",IF(O25&lt;&gt;"",MAX(P$5:P24)+O25,"")),"")</f>
        <v/>
      </c>
      <c r="Q25" s="84">
        <f t="shared" si="10"/>
        <v>45463</v>
      </c>
      <c r="R25" s="85">
        <f t="shared" si="11"/>
        <v>8.4</v>
      </c>
      <c r="S25" s="86">
        <f>IFERROR(IF(R25=LOOKUP(Q25,Spez_Tg,Festtage),"",IF(R25&lt;&gt;"",MAX(S$5:S24)+R25,"")),"")</f>
        <v>117.60000000000004</v>
      </c>
      <c r="T25" s="87">
        <v>20</v>
      </c>
      <c r="V25" s="98"/>
      <c r="W25" s="107"/>
      <c r="X25" s="104"/>
      <c r="Y25" s="105"/>
      <c r="Z25" s="105"/>
      <c r="AA25" s="106"/>
    </row>
    <row r="26" spans="1:27" x14ac:dyDescent="0.25">
      <c r="A26" s="76">
        <v>21</v>
      </c>
      <c r="B26" s="82">
        <f t="shared" si="0"/>
        <v>45312</v>
      </c>
      <c r="C26" s="80" t="str">
        <f t="shared" si="1"/>
        <v/>
      </c>
      <c r="D26" s="81" t="str">
        <f>IFERROR(IF(C26=LOOKUP(B26,Spez_Tg,Festtage),"",IF(C26&lt;&gt;"",MAX(D$5:D25)+C26,"")),"")</f>
        <v/>
      </c>
      <c r="E26" s="82">
        <f t="shared" si="2"/>
        <v>45343</v>
      </c>
      <c r="F26" s="80">
        <f t="shared" si="3"/>
        <v>8.4</v>
      </c>
      <c r="G26" s="81">
        <f>IFERROR(IF(F26=LOOKUP(E26,Spez_Tg,Festtage),"",IF(F26&lt;&gt;"",MAX(G$5:G25)+F26,"")),"")</f>
        <v>126.00000000000004</v>
      </c>
      <c r="H26" s="82">
        <f t="shared" si="4"/>
        <v>45372</v>
      </c>
      <c r="I26" s="80">
        <f t="shared" si="5"/>
        <v>8.4</v>
      </c>
      <c r="J26" s="81">
        <f>IFERROR(IF(I26=LOOKUP(H26,Spez_Tg,Festtage),"",IF(I26&lt;&gt;"",MAX(J$5:J25)+I26,"")),"")</f>
        <v>126.00000000000004</v>
      </c>
      <c r="K26" s="82">
        <f t="shared" si="6"/>
        <v>45403</v>
      </c>
      <c r="L26" s="80" t="str">
        <f t="shared" si="7"/>
        <v/>
      </c>
      <c r="M26" s="81" t="str">
        <f>IFERROR(IF(L26=LOOKUP(K26,Spez_Tg,Festtage),"",IF(L26&lt;&gt;"",MAX(M$5:M25)+L26,"")),"")</f>
        <v/>
      </c>
      <c r="N26" s="82">
        <f t="shared" si="8"/>
        <v>45433</v>
      </c>
      <c r="O26" s="80">
        <f t="shared" si="9"/>
        <v>8.4</v>
      </c>
      <c r="P26" s="81">
        <f>IFERROR(IF(O26=LOOKUP(N26,Spez_Tg,Festtage),"",IF(O26&lt;&gt;"",MAX(P$5:P25)+O26,"")),"")</f>
        <v>105.00000000000001</v>
      </c>
      <c r="Q26" s="82">
        <f t="shared" si="10"/>
        <v>45464</v>
      </c>
      <c r="R26" s="80">
        <f t="shared" si="11"/>
        <v>8.4</v>
      </c>
      <c r="S26" s="81">
        <f>IFERROR(IF(R26=LOOKUP(Q26,Spez_Tg,Festtage),"",IF(R26&lt;&gt;"",MAX(S$5:S25)+R26,"")),"")</f>
        <v>126.00000000000004</v>
      </c>
      <c r="T26" s="78">
        <v>21</v>
      </c>
      <c r="V26" s="111"/>
      <c r="W26" s="111"/>
      <c r="X26" s="111"/>
      <c r="Z26" s="112"/>
      <c r="AA26" s="102"/>
    </row>
    <row r="27" spans="1:27" x14ac:dyDescent="0.25">
      <c r="A27" s="83">
        <v>22</v>
      </c>
      <c r="B27" s="84">
        <f t="shared" si="0"/>
        <v>45313</v>
      </c>
      <c r="C27" s="85">
        <f t="shared" si="1"/>
        <v>8.4</v>
      </c>
      <c r="D27" s="86">
        <f>IFERROR(IF(C27=LOOKUP(B27,Spez_Tg,Festtage),"",IF(C27&lt;&gt;"",MAX(D$5:D26)+C27,"")),"")</f>
        <v>117.60000000000004</v>
      </c>
      <c r="E27" s="84">
        <f t="shared" si="2"/>
        <v>45344</v>
      </c>
      <c r="F27" s="85">
        <f t="shared" si="3"/>
        <v>8.4</v>
      </c>
      <c r="G27" s="86">
        <f>IFERROR(IF(F27=LOOKUP(E27,Spez_Tg,Festtage),"",IF(F27&lt;&gt;"",MAX(G$5:G26)+F27,"")),"")</f>
        <v>134.40000000000003</v>
      </c>
      <c r="H27" s="84">
        <f t="shared" si="4"/>
        <v>45373</v>
      </c>
      <c r="I27" s="85">
        <f t="shared" si="5"/>
        <v>8.4</v>
      </c>
      <c r="J27" s="86">
        <f>IFERROR(IF(I27=LOOKUP(H27,Spez_Tg,Festtage),"",IF(I27&lt;&gt;"",MAX(J$5:J26)+I27,"")),"")</f>
        <v>134.40000000000003</v>
      </c>
      <c r="K27" s="84">
        <f t="shared" si="6"/>
        <v>45404</v>
      </c>
      <c r="L27" s="85">
        <f t="shared" si="7"/>
        <v>8.4</v>
      </c>
      <c r="M27" s="86">
        <f>IFERROR(IF(L27=LOOKUP(K27,Spez_Tg,Festtage),"",IF(L27&lt;&gt;"",MAX(M$5:M26)+L27,"")),"")</f>
        <v>126.00000000000004</v>
      </c>
      <c r="N27" s="84">
        <f t="shared" si="8"/>
        <v>45434</v>
      </c>
      <c r="O27" s="85">
        <f>IFERROR(IF(OR(WEEKDAY(N27)=7,WEEKDAY(N27)=1),"",IF(ISNA(MATCH(N27,Spez_Tg,0)),W_Std/5,IF(LOOKUP(N27,Spez_Tg,Spez_Std)&gt;0,LOOKUP(N27,Spez_Tg,Spez_Std),LOOKUP(N27,Spez_Tg,Festtage)))),"")</f>
        <v>8.4</v>
      </c>
      <c r="P27" s="86">
        <f>IFERROR(IF(O27=LOOKUP(N27,Spez_Tg,Festtage),"",IF(O27&lt;&gt;"",MAX(P$5:P26)+O27,"")),"")</f>
        <v>113.40000000000002</v>
      </c>
      <c r="Q27" s="84">
        <f t="shared" si="10"/>
        <v>45465</v>
      </c>
      <c r="R27" s="85" t="str">
        <f t="shared" si="11"/>
        <v/>
      </c>
      <c r="S27" s="86" t="str">
        <f>IFERROR(IF(R27=LOOKUP(Q27,Spez_Tg,Festtage),"",IF(R27&lt;&gt;"",MAX(S$5:S26)+R27,"")),"")</f>
        <v/>
      </c>
      <c r="T27" s="87">
        <v>22</v>
      </c>
      <c r="U27" s="113"/>
      <c r="W27" s="111"/>
      <c r="X27" s="111"/>
      <c r="Y27" s="111"/>
      <c r="Z27" s="112"/>
      <c r="AA27" s="102"/>
    </row>
    <row r="28" spans="1:27" x14ac:dyDescent="0.25">
      <c r="A28" s="76">
        <v>23</v>
      </c>
      <c r="B28" s="82">
        <f t="shared" si="0"/>
        <v>45314</v>
      </c>
      <c r="C28" s="80">
        <f t="shared" si="1"/>
        <v>8.4</v>
      </c>
      <c r="D28" s="81">
        <f>IFERROR(IF(C28=LOOKUP(B28,Spez_Tg,Festtage),"",IF(C28&lt;&gt;"",MAX(D$5:D27)+C28,"")),"")</f>
        <v>126.00000000000004</v>
      </c>
      <c r="E28" s="82">
        <f t="shared" si="2"/>
        <v>45345</v>
      </c>
      <c r="F28" s="80">
        <f t="shared" si="3"/>
        <v>8.4</v>
      </c>
      <c r="G28" s="81">
        <f>IFERROR(IF(F28=LOOKUP(E28,Spez_Tg,Festtage),"",IF(F28&lt;&gt;"",MAX(G$5:G27)+F28,"")),"")</f>
        <v>142.80000000000004</v>
      </c>
      <c r="H28" s="82">
        <f t="shared" si="4"/>
        <v>45374</v>
      </c>
      <c r="I28" s="80" t="str">
        <f t="shared" si="5"/>
        <v/>
      </c>
      <c r="J28" s="81" t="str">
        <f>IFERROR(IF(I28=LOOKUP(H28,Spez_Tg,Festtage),"",IF(I28&lt;&gt;"",MAX(J$5:J27)+I28,"")),"")</f>
        <v/>
      </c>
      <c r="K28" s="82">
        <f t="shared" si="6"/>
        <v>45405</v>
      </c>
      <c r="L28" s="80">
        <f t="shared" si="7"/>
        <v>8.4</v>
      </c>
      <c r="M28" s="81">
        <f>IFERROR(IF(L28=LOOKUP(K28,Spez_Tg,Festtage),"",IF(L28&lt;&gt;"",MAX(M$5:M27)+L28,"")),"")</f>
        <v>134.40000000000003</v>
      </c>
      <c r="N28" s="82">
        <f t="shared" si="8"/>
        <v>45435</v>
      </c>
      <c r="O28" s="80">
        <f t="shared" si="9"/>
        <v>8.4</v>
      </c>
      <c r="P28" s="81">
        <f>IFERROR(IF(O28=LOOKUP(N28,Spez_Tg,Festtage),"",IF(O28&lt;&gt;"",MAX(P$5:P27)+O28,"")),"")</f>
        <v>121.80000000000003</v>
      </c>
      <c r="Q28" s="82">
        <f t="shared" si="10"/>
        <v>45466</v>
      </c>
      <c r="R28" s="80" t="str">
        <f t="shared" si="11"/>
        <v/>
      </c>
      <c r="S28" s="81" t="str">
        <f>IFERROR(IF(R28=LOOKUP(Q28,Spez_Tg,Festtage),"",IF(R28&lt;&gt;"",MAX(S$5:S27)+R28,"")),"")</f>
        <v/>
      </c>
      <c r="T28" s="78">
        <v>23</v>
      </c>
      <c r="U28" s="114"/>
      <c r="V28" s="111"/>
      <c r="W28" s="111"/>
      <c r="X28" s="111"/>
      <c r="Y28" s="111"/>
      <c r="Z28" s="112"/>
      <c r="AA28" s="102"/>
    </row>
    <row r="29" spans="1:27" x14ac:dyDescent="0.25">
      <c r="A29" s="83">
        <v>24</v>
      </c>
      <c r="B29" s="84">
        <f t="shared" si="0"/>
        <v>45315</v>
      </c>
      <c r="C29" s="85">
        <f t="shared" si="1"/>
        <v>8.4</v>
      </c>
      <c r="D29" s="86">
        <f>IFERROR(IF(C29=LOOKUP(B29,Spez_Tg,Festtage),"",IF(C29&lt;&gt;"",MAX(D$5:D28)+C29,"")),"")</f>
        <v>134.40000000000003</v>
      </c>
      <c r="E29" s="84">
        <f t="shared" si="2"/>
        <v>45346</v>
      </c>
      <c r="F29" s="85" t="str">
        <f t="shared" si="3"/>
        <v/>
      </c>
      <c r="G29" s="86" t="str">
        <f>IFERROR(IF(F29=LOOKUP(E29,Spez_Tg,Festtage),"",IF(F29&lt;&gt;"",MAX(G$5:G28)+F29,"")),"")</f>
        <v/>
      </c>
      <c r="H29" s="84">
        <f t="shared" si="4"/>
        <v>45375</v>
      </c>
      <c r="I29" s="85" t="str">
        <f t="shared" si="5"/>
        <v/>
      </c>
      <c r="J29" s="86" t="str">
        <f>IFERROR(IF(I29=LOOKUP(H29,Spez_Tg,Festtage),"",IF(I29&lt;&gt;"",MAX(J$5:J28)+I29,"")),"")</f>
        <v/>
      </c>
      <c r="K29" s="84">
        <f t="shared" si="6"/>
        <v>45406</v>
      </c>
      <c r="L29" s="85">
        <f t="shared" si="7"/>
        <v>8.4</v>
      </c>
      <c r="M29" s="86">
        <f>IFERROR(IF(L29=LOOKUP(K29,Spez_Tg,Festtage),"",IF(L29&lt;&gt;"",MAX(M$5:M28)+L29,"")),"")</f>
        <v>142.80000000000004</v>
      </c>
      <c r="N29" s="84">
        <f t="shared" si="8"/>
        <v>45436</v>
      </c>
      <c r="O29" s="85">
        <f t="shared" si="9"/>
        <v>8.4</v>
      </c>
      <c r="P29" s="86">
        <f>IFERROR(IF(O29=LOOKUP(N29,Spez_Tg,Festtage),"",IF(O29&lt;&gt;"",MAX(P$5:P28)+O29,"")),"")</f>
        <v>130.20000000000002</v>
      </c>
      <c r="Q29" s="84">
        <f t="shared" si="10"/>
        <v>45467</v>
      </c>
      <c r="R29" s="85">
        <f t="shared" si="11"/>
        <v>8.4</v>
      </c>
      <c r="S29" s="86">
        <f>IFERROR(IF(R29=LOOKUP(Q29,Spez_Tg,Festtage),"",IF(R29&lt;&gt;"",MAX(S$5:S28)+R29,"")),"")</f>
        <v>134.40000000000003</v>
      </c>
      <c r="T29" s="87">
        <v>24</v>
      </c>
      <c r="U29" s="114"/>
      <c r="V29" s="111"/>
      <c r="W29" s="111"/>
      <c r="X29" s="111"/>
      <c r="Y29" s="111"/>
      <c r="Z29" s="112"/>
      <c r="AA29" s="102"/>
    </row>
    <row r="30" spans="1:27" x14ac:dyDescent="0.25">
      <c r="A30" s="76">
        <v>25</v>
      </c>
      <c r="B30" s="82">
        <f t="shared" si="0"/>
        <v>45316</v>
      </c>
      <c r="C30" s="80">
        <f t="shared" si="1"/>
        <v>8.4</v>
      </c>
      <c r="D30" s="81">
        <f>IFERROR(IF(C30=LOOKUP(B30,Spez_Tg,Festtage),"",IF(C30&lt;&gt;"",MAX(D$5:D29)+C30,"")),"")</f>
        <v>142.80000000000004</v>
      </c>
      <c r="E30" s="82">
        <f t="shared" si="2"/>
        <v>45347</v>
      </c>
      <c r="F30" s="80" t="str">
        <f t="shared" si="3"/>
        <v/>
      </c>
      <c r="G30" s="81" t="str">
        <f>IFERROR(IF(F30=LOOKUP(E30,Spez_Tg,Festtage),"",IF(F30&lt;&gt;"",MAX(G$5:G29)+F30,"")),"")</f>
        <v/>
      </c>
      <c r="H30" s="82">
        <f t="shared" si="4"/>
        <v>45376</v>
      </c>
      <c r="I30" s="80">
        <f t="shared" si="5"/>
        <v>8.4</v>
      </c>
      <c r="J30" s="81">
        <f>IFERROR(IF(I30=LOOKUP(H30,Spez_Tg,Festtage),"",IF(I30&lt;&gt;"",MAX(J$5:J29)+I30,"")),"")</f>
        <v>142.80000000000004</v>
      </c>
      <c r="K30" s="82">
        <f t="shared" si="6"/>
        <v>45407</v>
      </c>
      <c r="L30" s="80">
        <f t="shared" si="7"/>
        <v>8.4</v>
      </c>
      <c r="M30" s="81">
        <f>IFERROR(IF(L30=LOOKUP(K30,Spez_Tg,Festtage),"",IF(L30&lt;&gt;"",MAX(M$5:M29)+L30,"")),"")</f>
        <v>151.20000000000005</v>
      </c>
      <c r="N30" s="82">
        <f t="shared" si="8"/>
        <v>45437</v>
      </c>
      <c r="O30" s="80" t="str">
        <f t="shared" si="9"/>
        <v/>
      </c>
      <c r="P30" s="81" t="str">
        <f>IFERROR(IF(O30=LOOKUP(N30,Spez_Tg,Festtage),"",IF(O30&lt;&gt;"",MAX(P$5:P29)+O30,"")),"")</f>
        <v/>
      </c>
      <c r="Q30" s="82">
        <f t="shared" si="10"/>
        <v>45468</v>
      </c>
      <c r="R30" s="80">
        <f t="shared" si="11"/>
        <v>8.4</v>
      </c>
      <c r="S30" s="81">
        <f>IFERROR(IF(R30=LOOKUP(Q30,Spez_Tg,Festtage),"",IF(R30&lt;&gt;"",MAX(S$5:S29)+R30,"")),"")</f>
        <v>142.80000000000004</v>
      </c>
      <c r="T30" s="78">
        <v>25</v>
      </c>
      <c r="V30" s="111"/>
      <c r="W30" s="111"/>
      <c r="X30" s="111"/>
      <c r="Y30" s="111"/>
      <c r="Z30" s="112"/>
      <c r="AA30" s="112"/>
    </row>
    <row r="31" spans="1:27" x14ac:dyDescent="0.25">
      <c r="A31" s="83">
        <v>26</v>
      </c>
      <c r="B31" s="84">
        <f t="shared" si="0"/>
        <v>45317</v>
      </c>
      <c r="C31" s="85">
        <f t="shared" si="1"/>
        <v>8.4</v>
      </c>
      <c r="D31" s="86">
        <f>IFERROR(IF(C31=LOOKUP(B31,Spez_Tg,Festtage),"",IF(C31&lt;&gt;"",MAX(D$5:D30)+C31,"")),"")</f>
        <v>151.20000000000005</v>
      </c>
      <c r="E31" s="84">
        <f t="shared" si="2"/>
        <v>45348</v>
      </c>
      <c r="F31" s="85">
        <f t="shared" si="3"/>
        <v>8.4</v>
      </c>
      <c r="G31" s="86">
        <f>IFERROR(IF(F31=LOOKUP(E31,Spez_Tg,Festtage),"",IF(F31&lt;&gt;"",MAX(G$5:G30)+F31,"")),"")</f>
        <v>151.20000000000005</v>
      </c>
      <c r="H31" s="84">
        <f t="shared" si="4"/>
        <v>45377</v>
      </c>
      <c r="I31" s="85">
        <f t="shared" si="5"/>
        <v>8.4</v>
      </c>
      <c r="J31" s="86">
        <f>IFERROR(IF(I31=LOOKUP(H31,Spez_Tg,Festtage),"",IF(I31&lt;&gt;"",MAX(J$5:J30)+I31,"")),"")</f>
        <v>151.20000000000005</v>
      </c>
      <c r="K31" s="84">
        <f t="shared" si="6"/>
        <v>45408</v>
      </c>
      <c r="L31" s="85">
        <f t="shared" si="7"/>
        <v>8.4</v>
      </c>
      <c r="M31" s="86">
        <f>IFERROR(IF(L31=LOOKUP(K31,Spez_Tg,Festtage),"",IF(L31&lt;&gt;"",MAX(M$5:M30)+L31,"")),"")</f>
        <v>159.60000000000005</v>
      </c>
      <c r="N31" s="84">
        <f t="shared" si="8"/>
        <v>45438</v>
      </c>
      <c r="O31" s="85" t="str">
        <f t="shared" si="9"/>
        <v/>
      </c>
      <c r="P31" s="86" t="str">
        <f>IFERROR(IF(O31=LOOKUP(N31,Spez_Tg,Festtage),"",IF(O31&lt;&gt;"",MAX(P$5:P30)+O31,"")),"")</f>
        <v/>
      </c>
      <c r="Q31" s="84">
        <f t="shared" si="10"/>
        <v>45469</v>
      </c>
      <c r="R31" s="85">
        <f t="shared" si="11"/>
        <v>8.4</v>
      </c>
      <c r="S31" s="86">
        <f>IFERROR(IF(R31=LOOKUP(Q31,Spez_Tg,Festtage),"",IF(R31&lt;&gt;"",MAX(S$5:S30)+R31,"")),"")</f>
        <v>151.20000000000005</v>
      </c>
      <c r="T31" s="87">
        <v>26</v>
      </c>
      <c r="V31" s="111"/>
      <c r="W31" s="111"/>
      <c r="X31" s="111"/>
      <c r="Y31" s="111"/>
      <c r="Z31" s="112"/>
      <c r="AA31" s="115"/>
    </row>
    <row r="32" spans="1:27" x14ac:dyDescent="0.25">
      <c r="A32" s="76">
        <v>27</v>
      </c>
      <c r="B32" s="82">
        <f t="shared" si="0"/>
        <v>45318</v>
      </c>
      <c r="C32" s="80" t="str">
        <f t="shared" si="1"/>
        <v/>
      </c>
      <c r="D32" s="81" t="str">
        <f>IFERROR(IF(C32=LOOKUP(B32,Spez_Tg,Festtage),"",IF(C32&lt;&gt;"",MAX(D$5:D31)+C32,"")),"")</f>
        <v/>
      </c>
      <c r="E32" s="82">
        <f t="shared" si="2"/>
        <v>45349</v>
      </c>
      <c r="F32" s="80">
        <f t="shared" si="3"/>
        <v>8.4</v>
      </c>
      <c r="G32" s="81">
        <f>IFERROR(IF(F32=LOOKUP(E32,Spez_Tg,Festtage),"",IF(F32&lt;&gt;"",MAX(G$5:G31)+F32,"")),"")</f>
        <v>159.60000000000005</v>
      </c>
      <c r="H32" s="82">
        <f t="shared" si="4"/>
        <v>45378</v>
      </c>
      <c r="I32" s="80">
        <f t="shared" si="5"/>
        <v>8.4</v>
      </c>
      <c r="J32" s="81">
        <f>IFERROR(IF(I32=LOOKUP(H32,Spez_Tg,Festtage),"",IF(I32&lt;&gt;"",MAX(J$5:J31)+I32,"")),"")</f>
        <v>159.60000000000005</v>
      </c>
      <c r="K32" s="82">
        <f t="shared" si="6"/>
        <v>45409</v>
      </c>
      <c r="L32" s="80" t="str">
        <f t="shared" si="7"/>
        <v/>
      </c>
      <c r="M32" s="81" t="str">
        <f>IFERROR(IF(L32=LOOKUP(K32,Spez_Tg,Festtage),"",IF(L32&lt;&gt;"",MAX(M$5:M31)+L32,"")),"")</f>
        <v/>
      </c>
      <c r="N32" s="82">
        <f t="shared" si="8"/>
        <v>45439</v>
      </c>
      <c r="O32" s="80">
        <f t="shared" si="9"/>
        <v>8.4</v>
      </c>
      <c r="P32" s="81">
        <f>IFERROR(IF(O32=LOOKUP(N32,Spez_Tg,Festtage),"",IF(O32&lt;&gt;"",MAX(P$5:P31)+O32,"")),"")</f>
        <v>138.60000000000002</v>
      </c>
      <c r="Q32" s="82">
        <f t="shared" si="10"/>
        <v>45470</v>
      </c>
      <c r="R32" s="80">
        <f t="shared" si="11"/>
        <v>8.4</v>
      </c>
      <c r="S32" s="81">
        <f>IFERROR(IF(R32=LOOKUP(Q32,Spez_Tg,Festtage),"",IF(R32&lt;&gt;"",MAX(S$5:S31)+R32,"")),"")</f>
        <v>159.60000000000005</v>
      </c>
      <c r="T32" s="78">
        <v>27</v>
      </c>
      <c r="V32" s="111"/>
      <c r="W32" s="111"/>
      <c r="X32" s="111"/>
      <c r="Y32" s="111"/>
      <c r="Z32" s="112"/>
      <c r="AA32" s="116"/>
    </row>
    <row r="33" spans="1:27" x14ac:dyDescent="0.25">
      <c r="A33" s="83">
        <v>28</v>
      </c>
      <c r="B33" s="84">
        <f t="shared" si="0"/>
        <v>45319</v>
      </c>
      <c r="C33" s="85" t="str">
        <f t="shared" si="1"/>
        <v/>
      </c>
      <c r="D33" s="86" t="str">
        <f>IFERROR(IF(C33=LOOKUP(B33,Spez_Tg,Festtage),"",IF(C33&lt;&gt;"",MAX(D$5:D32)+C33,"")),"")</f>
        <v/>
      </c>
      <c r="E33" s="84">
        <f t="shared" si="2"/>
        <v>45350</v>
      </c>
      <c r="F33" s="85">
        <f t="shared" si="3"/>
        <v>8.4</v>
      </c>
      <c r="G33" s="86">
        <f>IFERROR(IF(F33=LOOKUP(E33,Spez_Tg,Festtage),"",IF(F33&lt;&gt;"",MAX(G$5:G32)+F33,"")),"")</f>
        <v>168.00000000000006</v>
      </c>
      <c r="H33" s="84">
        <f t="shared" si="4"/>
        <v>45379</v>
      </c>
      <c r="I33" s="85">
        <f t="shared" si="5"/>
        <v>8.4</v>
      </c>
      <c r="J33" s="86">
        <f>IFERROR(IF(I33=LOOKUP(H33,Spez_Tg,Festtage),"",IF(I33&lt;&gt;"",MAX(J$5:J32)+I33,"")),"")</f>
        <v>168.00000000000006</v>
      </c>
      <c r="K33" s="84">
        <f t="shared" si="6"/>
        <v>45410</v>
      </c>
      <c r="L33" s="85" t="str">
        <f t="shared" si="7"/>
        <v/>
      </c>
      <c r="M33" s="86" t="str">
        <f>IFERROR(IF(L33=LOOKUP(K33,Spez_Tg,Festtage),"",IF(L33&lt;&gt;"",MAX(M$5:M32)+L33,"")),"")</f>
        <v/>
      </c>
      <c r="N33" s="84">
        <f t="shared" si="8"/>
        <v>45440</v>
      </c>
      <c r="O33" s="85">
        <f t="shared" si="9"/>
        <v>8.4</v>
      </c>
      <c r="P33" s="86">
        <f>IFERROR(IF(O33=LOOKUP(N33,Spez_Tg,Festtage),"",IF(O33&lt;&gt;"",MAX(P$5:P32)+O33,"")),"")</f>
        <v>147.00000000000003</v>
      </c>
      <c r="Q33" s="84">
        <f t="shared" si="10"/>
        <v>45471</v>
      </c>
      <c r="R33" s="85">
        <f t="shared" si="11"/>
        <v>8.4</v>
      </c>
      <c r="S33" s="86">
        <f>IFERROR(IF(R33=LOOKUP(Q33,Spez_Tg,Festtage),"",IF(R33&lt;&gt;"",MAX(S$5:S32)+R33,"")),"")</f>
        <v>168.00000000000006</v>
      </c>
      <c r="T33" s="87">
        <v>28</v>
      </c>
      <c r="V33" s="99"/>
      <c r="W33" s="95"/>
      <c r="X33" s="96"/>
      <c r="Y33" s="96"/>
      <c r="Z33" s="112"/>
      <c r="AA33" s="117"/>
    </row>
    <row r="34" spans="1:27" x14ac:dyDescent="0.25">
      <c r="A34" s="76">
        <v>29</v>
      </c>
      <c r="B34" s="82">
        <f t="shared" si="0"/>
        <v>45320</v>
      </c>
      <c r="C34" s="80">
        <f t="shared" si="1"/>
        <v>8.4</v>
      </c>
      <c r="D34" s="81">
        <f>IFERROR(IF(C34=LOOKUP(B34,Spez_Tg,Festtage),"",IF(C34&lt;&gt;"",MAX(D$5:D33)+C34,"")),"")</f>
        <v>159.60000000000005</v>
      </c>
      <c r="E34" s="82">
        <f t="shared" si="2"/>
        <v>45351</v>
      </c>
      <c r="F34" s="80">
        <f t="shared" si="3"/>
        <v>8.4</v>
      </c>
      <c r="G34" s="81">
        <f>IFERROR(IF(F34=LOOKUP(E34,Spez_Tg,Festtage),"",IF(F34&lt;&gt;"",MAX(G$5:G33)+F34,"")),"")</f>
        <v>176.40000000000006</v>
      </c>
      <c r="H34" s="82">
        <f t="shared" si="4"/>
        <v>45380</v>
      </c>
      <c r="I34" s="80" t="str">
        <f t="shared" si="5"/>
        <v>Karfreitag</v>
      </c>
      <c r="J34" s="81" t="str">
        <f>IFERROR(IF(I34=LOOKUP(H34,Spez_Tg,Festtage),"",IF(I34&lt;&gt;"",MAX(J$5:J33)+I34,"")),"")</f>
        <v/>
      </c>
      <c r="K34" s="82">
        <f t="shared" si="6"/>
        <v>45411</v>
      </c>
      <c r="L34" s="80">
        <f t="shared" si="7"/>
        <v>8.4</v>
      </c>
      <c r="M34" s="81">
        <f>IFERROR(IF(L34=LOOKUP(K34,Spez_Tg,Festtage),"",IF(L34&lt;&gt;"",MAX(M$5:M33)+L34,"")),"")</f>
        <v>168.00000000000006</v>
      </c>
      <c r="N34" s="82">
        <f t="shared" si="8"/>
        <v>45441</v>
      </c>
      <c r="O34" s="80">
        <f t="shared" si="9"/>
        <v>8.4</v>
      </c>
      <c r="P34" s="81">
        <f>IFERROR(IF(O34=LOOKUP(N34,Spez_Tg,Festtage),"",IF(O34&lt;&gt;"",MAX(P$5:P33)+O34,"")),"")</f>
        <v>155.40000000000003</v>
      </c>
      <c r="Q34" s="82">
        <f t="shared" si="10"/>
        <v>45472</v>
      </c>
      <c r="R34" s="80" t="str">
        <f t="shared" si="11"/>
        <v/>
      </c>
      <c r="S34" s="81" t="str">
        <f>IFERROR(IF(R34=LOOKUP(Q34,Spez_Tg,Festtage),"",IF(R34&lt;&gt;"",MAX(S$5:S33)+R34,"")),"")</f>
        <v/>
      </c>
      <c r="T34" s="78">
        <v>29</v>
      </c>
      <c r="V34" s="99"/>
      <c r="W34" s="95"/>
      <c r="X34" s="96"/>
      <c r="Y34" s="96"/>
      <c r="Z34" s="118"/>
      <c r="AA34" s="119"/>
    </row>
    <row r="35" spans="1:27" x14ac:dyDescent="0.25">
      <c r="A35" s="83">
        <v>30</v>
      </c>
      <c r="B35" s="84">
        <f t="shared" si="0"/>
        <v>45321</v>
      </c>
      <c r="C35" s="85">
        <f t="shared" si="1"/>
        <v>8.4</v>
      </c>
      <c r="D35" s="86">
        <f>IFERROR(IF(C35=LOOKUP(B35,Spez_Tg,Festtage),"",IF(C35&lt;&gt;"",MAX(D$5:D34)+C35,"")),"")</f>
        <v>168.00000000000006</v>
      </c>
      <c r="E35" s="84" t="str">
        <f t="shared" si="2"/>
        <v/>
      </c>
      <c r="F35" s="85" t="str">
        <f t="shared" si="3"/>
        <v/>
      </c>
      <c r="G35" s="86" t="str">
        <f>IFERROR(IF(F35=LOOKUP(E35,Spez_Tg,Festtage),"",IF(F35&lt;&gt;"",MAX(G$5:G34)+F35,"")),"")</f>
        <v/>
      </c>
      <c r="H35" s="84">
        <f t="shared" si="4"/>
        <v>45381</v>
      </c>
      <c r="I35" s="85" t="str">
        <f t="shared" si="5"/>
        <v/>
      </c>
      <c r="J35" s="86" t="str">
        <f>IFERROR(IF(I35=LOOKUP(H35,Spez_Tg,Festtage),"",IF(I35&lt;&gt;"",MAX(J$5:J34)+I35,"")),"")</f>
        <v/>
      </c>
      <c r="K35" s="84">
        <f t="shared" si="6"/>
        <v>45412</v>
      </c>
      <c r="L35" s="85">
        <f t="shared" si="7"/>
        <v>8.4</v>
      </c>
      <c r="M35" s="86">
        <f>IFERROR(IF(L35=LOOKUP(K35,Spez_Tg,Festtage),"",IF(L35&lt;&gt;"",MAX(M$5:M34)+L35,"")),"")</f>
        <v>176.40000000000006</v>
      </c>
      <c r="N35" s="84">
        <f t="shared" si="8"/>
        <v>45442</v>
      </c>
      <c r="O35" s="85">
        <f t="shared" si="9"/>
        <v>8.4</v>
      </c>
      <c r="P35" s="86">
        <f>IFERROR(IF(O35=LOOKUP(N35,Spez_Tg,Festtage),"",IF(O35&lt;&gt;"",MAX(P$5:P34)+O35,"")),"")</f>
        <v>163.80000000000004</v>
      </c>
      <c r="Q35" s="84">
        <f t="shared" si="10"/>
        <v>45473</v>
      </c>
      <c r="R35" s="85" t="str">
        <f t="shared" si="11"/>
        <v/>
      </c>
      <c r="S35" s="86" t="str">
        <f>IFERROR(IF(R35=LOOKUP(Q35,Spez_Tg,Festtage),"",IF(R35&lt;&gt;"",MAX(S$5:S34)+R35,"")),"")</f>
        <v/>
      </c>
      <c r="T35" s="87">
        <v>30</v>
      </c>
      <c r="V35" s="99"/>
      <c r="W35" s="95"/>
      <c r="X35" s="96"/>
      <c r="Y35" s="96"/>
      <c r="Z35" s="115"/>
      <c r="AA35" s="115"/>
    </row>
    <row r="36" spans="1:27" x14ac:dyDescent="0.25">
      <c r="A36" s="76">
        <v>31</v>
      </c>
      <c r="B36" s="120">
        <f t="shared" si="0"/>
        <v>45322</v>
      </c>
      <c r="C36" s="95">
        <f t="shared" si="1"/>
        <v>8.4</v>
      </c>
      <c r="D36" s="81">
        <f>IFERROR(IF(C36=LOOKUP(B36,Spez_Tg,Festtage),"",IF(C36&lt;&gt;"",MAX(D$5:D35)+C36,"")),"")</f>
        <v>176.40000000000006</v>
      </c>
      <c r="E36" s="120" t="str">
        <f t="shared" si="2"/>
        <v/>
      </c>
      <c r="F36" s="95" t="str">
        <f t="shared" si="3"/>
        <v/>
      </c>
      <c r="G36" s="81" t="str">
        <f>IFERROR(IF(F36=LOOKUP(E36,Spez_Tg,Festtage),"",IF(F36&lt;&gt;"",MAX(G$5:G35)+F36,"")),"")</f>
        <v/>
      </c>
      <c r="H36" s="120">
        <f t="shared" si="4"/>
        <v>45382</v>
      </c>
      <c r="I36" s="95" t="str">
        <f t="shared" si="5"/>
        <v/>
      </c>
      <c r="J36" s="81" t="str">
        <f>IFERROR(IF(I36=LOOKUP(H36,Spez_Tg,Festtage),"",IF(I36&lt;&gt;"",MAX(J$5:J35)+I36,"")),"")</f>
        <v/>
      </c>
      <c r="K36" s="120" t="str">
        <f>IFERROR(DATEVALUE($A36&amp;"."&amp;MONTH(K$4)&amp;"."&amp;Akt_Jahr),"")</f>
        <v/>
      </c>
      <c r="L36" s="95" t="str">
        <f t="shared" si="7"/>
        <v/>
      </c>
      <c r="M36" s="81" t="str">
        <f>IFERROR(IF(L36=LOOKUP(K36,Spez_Tg,Festtage),"",IF(L36&lt;&gt;"",MAX(M$5:M35)+L36,"")),"")</f>
        <v/>
      </c>
      <c r="N36" s="120">
        <f t="shared" si="8"/>
        <v>45443</v>
      </c>
      <c r="O36" s="95">
        <f t="shared" si="9"/>
        <v>8.4</v>
      </c>
      <c r="P36" s="81">
        <f>IFERROR(IF(O36=LOOKUP(N36,Spez_Tg,Festtage),"",IF(O36&lt;&gt;"",MAX(P$5:P35)+O36,"")),"")</f>
        <v>172.20000000000005</v>
      </c>
      <c r="Q36" s="120" t="str">
        <f t="shared" si="10"/>
        <v/>
      </c>
      <c r="R36" s="95" t="str">
        <f t="shared" si="11"/>
        <v/>
      </c>
      <c r="S36" s="81" t="str">
        <f>IFERROR(IF(R36=LOOKUP(Q36,Spez_Tg,Festtage),"",IF(R36&lt;&gt;"",MAX(S$5:S35)+R36,"")),"")</f>
        <v/>
      </c>
      <c r="T36" s="78">
        <v>31</v>
      </c>
      <c r="V36" s="99"/>
      <c r="W36" s="95"/>
      <c r="X36" s="96"/>
      <c r="Y36" s="96"/>
      <c r="Z36" s="121"/>
      <c r="AA36" s="121"/>
    </row>
    <row r="37" spans="1:27" x14ac:dyDescent="0.25">
      <c r="A37" s="122"/>
      <c r="B37" s="123" t="s">
        <v>25</v>
      </c>
      <c r="C37" s="124"/>
      <c r="D37" s="125">
        <f>SUM(C6:C36)</f>
        <v>176.40000000000006</v>
      </c>
      <c r="E37" s="126"/>
      <c r="F37" s="124"/>
      <c r="G37" s="125">
        <f>SUM(F6:F36)</f>
        <v>176.40000000000006</v>
      </c>
      <c r="H37" s="126"/>
      <c r="I37" s="124"/>
      <c r="J37" s="125">
        <f>SUM(I6:I36)</f>
        <v>168.00000000000006</v>
      </c>
      <c r="K37" s="127" t="s">
        <v>28</v>
      </c>
      <c r="L37" s="128"/>
      <c r="M37" s="125">
        <f>SUM(L6:L36)</f>
        <v>176.40000000000006</v>
      </c>
      <c r="N37" s="126"/>
      <c r="O37" s="124"/>
      <c r="P37" s="125">
        <f>SUM(O6:O36)</f>
        <v>172.20000000000005</v>
      </c>
      <c r="Q37" s="126"/>
      <c r="R37" s="124"/>
      <c r="S37" s="125">
        <f>SUM(R6:R36)</f>
        <v>168.00000000000006</v>
      </c>
      <c r="T37" s="129"/>
      <c r="V37" s="99"/>
      <c r="W37" s="95"/>
      <c r="X37" s="96"/>
      <c r="Y37" s="96"/>
    </row>
    <row r="38" spans="1:27" x14ac:dyDescent="0.25">
      <c r="A38" s="130"/>
      <c r="B38" s="131" t="s">
        <v>22</v>
      </c>
      <c r="C38" s="132"/>
      <c r="D38" s="133">
        <f>D37</f>
        <v>176.40000000000006</v>
      </c>
      <c r="E38" s="131"/>
      <c r="F38" s="132"/>
      <c r="G38" s="133">
        <f>D38+G37</f>
        <v>352.80000000000013</v>
      </c>
      <c r="H38" s="131"/>
      <c r="I38" s="132"/>
      <c r="J38" s="132">
        <f>G38+J37</f>
        <v>520.80000000000018</v>
      </c>
      <c r="K38" s="134" t="str">
        <f>CONCATENATE(D37+G37+J37+M37)</f>
        <v>697.2</v>
      </c>
      <c r="L38" s="135"/>
      <c r="M38" s="133">
        <f>J38+M37</f>
        <v>697.20000000000027</v>
      </c>
      <c r="N38" s="131"/>
      <c r="O38" s="132"/>
      <c r="P38" s="133">
        <f>M38+P37</f>
        <v>869.40000000000032</v>
      </c>
      <c r="Q38" s="131"/>
      <c r="R38" s="132"/>
      <c r="S38" s="133">
        <f>P38+S37</f>
        <v>1037.4000000000003</v>
      </c>
      <c r="T38" s="136"/>
      <c r="V38" s="99"/>
      <c r="W38" s="96"/>
      <c r="X38" s="96"/>
      <c r="Y38" s="96"/>
    </row>
    <row r="39" spans="1:27" x14ac:dyDescent="0.25">
      <c r="C39" s="137"/>
      <c r="D39" s="137"/>
      <c r="F39" s="137"/>
      <c r="G39" s="137"/>
      <c r="I39" s="137"/>
      <c r="J39" s="137"/>
      <c r="L39" s="137"/>
      <c r="M39" s="137"/>
      <c r="O39" s="137"/>
      <c r="P39" s="137"/>
      <c r="R39" s="137"/>
      <c r="S39" s="137"/>
      <c r="V39" s="99"/>
      <c r="W39" s="96"/>
      <c r="X39" s="96"/>
      <c r="Y39" s="96"/>
    </row>
    <row r="40" spans="1:27" x14ac:dyDescent="0.25">
      <c r="A40" s="68" t="s">
        <v>27</v>
      </c>
      <c r="B40" s="69">
        <v>34516</v>
      </c>
      <c r="C40" s="138"/>
      <c r="D40" s="139"/>
      <c r="E40" s="69">
        <v>34547</v>
      </c>
      <c r="F40" s="138"/>
      <c r="G40" s="139"/>
      <c r="H40" s="69">
        <v>34578</v>
      </c>
      <c r="I40" s="138"/>
      <c r="J40" s="139"/>
      <c r="K40" s="69">
        <v>34608</v>
      </c>
      <c r="L40" s="138"/>
      <c r="M40" s="139"/>
      <c r="N40" s="69">
        <v>34639</v>
      </c>
      <c r="O40" s="138"/>
      <c r="P40" s="139"/>
      <c r="Q40" s="69">
        <v>34669</v>
      </c>
      <c r="R40" s="138"/>
      <c r="S40" s="139"/>
      <c r="T40" s="72" t="s">
        <v>27</v>
      </c>
      <c r="V40" s="99"/>
      <c r="W40" s="95"/>
      <c r="X40" s="96"/>
      <c r="Y40" s="96"/>
    </row>
    <row r="41" spans="1:27" x14ac:dyDescent="0.25">
      <c r="A41" s="76"/>
      <c r="C41" s="137"/>
      <c r="D41" s="140"/>
      <c r="F41" s="137"/>
      <c r="G41" s="140"/>
      <c r="I41" s="137"/>
      <c r="J41" s="140"/>
      <c r="L41" s="137"/>
      <c r="M41" s="140"/>
      <c r="O41" s="137"/>
      <c r="P41" s="140"/>
      <c r="R41" s="137"/>
      <c r="S41" s="140"/>
      <c r="T41" s="78"/>
      <c r="V41" s="99"/>
      <c r="W41" s="95"/>
      <c r="X41" s="96"/>
      <c r="Y41" s="96"/>
    </row>
    <row r="42" spans="1:27" x14ac:dyDescent="0.25">
      <c r="A42" s="76">
        <v>1</v>
      </c>
      <c r="B42" s="120">
        <f t="shared" ref="B42:B72" si="14">IFERROR(DATEVALUE($A42&amp;"."&amp;MONTH(B$40)&amp;"."&amp;Akt_Jahr),"")</f>
        <v>45474</v>
      </c>
      <c r="C42" s="80">
        <f t="shared" ref="C42:C72" si="15">IFERROR(IF(OR(WEEKDAY(B42)=7,WEEKDAY(B42)=1),"",IF(ISNA(MATCH(B42,Spez_Tg,0)),W_Std/5,IF(LOOKUP(B42,Spez_Tg,Spez_Std)&gt;0,LOOKUP(B42,Spez_Tg,Spez_Std),LOOKUP(B42,Spez_Tg,Festtage)))),"")</f>
        <v>8.4</v>
      </c>
      <c r="D42" s="81">
        <f>IFERROR(IF(C42=LOOKUP(B42,Spez_Tg,Festtage),"",IF(C42&lt;&gt;"",MAX(D$41:D41)+C42,"")),"")</f>
        <v>8.4</v>
      </c>
      <c r="E42" s="120">
        <f t="shared" ref="E42:E72" si="16">IFERROR(DATEVALUE($A42&amp;"."&amp;MONTH(E$40)&amp;"."&amp;Akt_Jahr),"")</f>
        <v>45505</v>
      </c>
      <c r="F42" s="80" t="str">
        <f t="shared" ref="F42:F72" si="17">IFERROR(IF(OR(WEEKDAY(E42)=7,WEEKDAY(E42)=1),"",IF(ISNA(MATCH(E42,Spez_Tg,0)),W_Std/5,IF(LOOKUP(E42,Spez_Tg,Spez_Std)&gt;0,LOOKUP(E42,Spez_Tg,Spez_Std),LOOKUP(E42,Spez_Tg,Festtage)))),"")</f>
        <v>Nat. Feiertag</v>
      </c>
      <c r="G42" s="81" t="str">
        <f>IFERROR(IF(F42=LOOKUP(E42,Spez_Tg,Festtage),"",IF(F42&lt;&gt;"",MAX(G$41:G41)+F42,"")),"")</f>
        <v/>
      </c>
      <c r="H42" s="120">
        <f t="shared" ref="H42:H72" si="18">IFERROR(DATEVALUE($A42&amp;"."&amp;MONTH(H$40)&amp;"."&amp;Akt_Jahr),"")</f>
        <v>45536</v>
      </c>
      <c r="I42" s="80" t="str">
        <f t="shared" ref="I42:I72" si="19">IFERROR(IF(OR(WEEKDAY(H42)=7,WEEKDAY(H42)=1),"",IF(ISNA(MATCH(H42,Spez_Tg,0)),W_Std/5,IF(LOOKUP(H42,Spez_Tg,Spez_Std)&gt;0,LOOKUP(H42,Spez_Tg,Spez_Std),LOOKUP(H42,Spez_Tg,Festtage)))),"")</f>
        <v/>
      </c>
      <c r="J42" s="81" t="str">
        <f>IFERROR(IF(I42=LOOKUP(H42,Spez_Tg,Festtage),"",IF(I42&lt;&gt;"",MAX(J$41:J41)+I42,"")),"")</f>
        <v/>
      </c>
      <c r="K42" s="120">
        <f t="shared" ref="K42:K72" si="20">IFERROR(DATEVALUE($A42&amp;"."&amp;MONTH(K$40)&amp;"."&amp;Akt_Jahr),"")</f>
        <v>45566</v>
      </c>
      <c r="L42" s="80">
        <f t="shared" ref="L42:L72" si="21">IFERROR(IF(OR(WEEKDAY(K42)=7,WEEKDAY(K42)=1),"",IF(ISNA(MATCH(K42,Spez_Tg,0)),W_Std/5,IF(LOOKUP(K42,Spez_Tg,Spez_Std)&gt;0,LOOKUP(K42,Spez_Tg,Spez_Std),LOOKUP(K42,Spez_Tg,Festtage)))),"")</f>
        <v>8.4</v>
      </c>
      <c r="M42" s="81">
        <f>IFERROR(IF(L42=LOOKUP(K42,Spez_Tg,Festtage),"",IF(L42&lt;&gt;"",MAX(M$41:M41)+L42,"")),"")</f>
        <v>8.4</v>
      </c>
      <c r="N42" s="120">
        <f t="shared" ref="N42:N72" si="22">IFERROR(DATEVALUE($A42&amp;"."&amp;MONTH(N$40)&amp;"."&amp;Akt_Jahr),"")</f>
        <v>45597</v>
      </c>
      <c r="O42" s="80" t="str">
        <f t="shared" ref="O42:O72" si="23">IFERROR(IF(OR(WEEKDAY(N42)=7,WEEKDAY(N42)=1),"",IF(ISNA(MATCH(N42,Spez_Tg,0)),W_Std/5,IF(LOOKUP(N42,Spez_Tg,Spez_Std)&gt;0,LOOKUP(N42,Spez_Tg,Spez_Std),LOOKUP(N42,Spez_Tg,Festtage)))),"")</f>
        <v>Allerheiligen</v>
      </c>
      <c r="P42" s="81" t="str">
        <f>IFERROR(IF(O42=LOOKUP(N42,Spez_Tg,Festtage),"",IF(O42&lt;&gt;"",MAX(P$41:P41)+O42,"")),"")</f>
        <v/>
      </c>
      <c r="Q42" s="120">
        <f t="shared" ref="Q42:Q72" si="24">IFERROR(DATEVALUE($A42&amp;"."&amp;MONTH(Q$40)&amp;"."&amp;Akt_Jahr),"")</f>
        <v>45627</v>
      </c>
      <c r="R42" s="80" t="str">
        <f t="shared" ref="R42:R72" si="25">IFERROR(IF(OR(WEEKDAY(Q42)=7,WEEKDAY(Q42)=1),"",IF(ISNA(MATCH(Q42,Spez_Tg,0)),W_Std/5,IF(LOOKUP(Q42,Spez_Tg,Spez_Std)&gt;0,LOOKUP(Q42,Spez_Tg,Spez_Std),LOOKUP(Q42,Spez_Tg,Festtage)))),"")</f>
        <v/>
      </c>
      <c r="S42" s="81" t="str">
        <f>IFERROR(IF(R42=LOOKUP(Q42,Spez_Tg,Festtage),"",IF(R42&lt;&gt;"",MAX(S$41:S41)+R42,"")),"")</f>
        <v/>
      </c>
      <c r="T42" s="78">
        <v>1</v>
      </c>
    </row>
    <row r="43" spans="1:27" x14ac:dyDescent="0.25">
      <c r="A43" s="83">
        <v>2</v>
      </c>
      <c r="B43" s="141">
        <f t="shared" si="14"/>
        <v>45475</v>
      </c>
      <c r="C43" s="85">
        <f t="shared" si="15"/>
        <v>8.4</v>
      </c>
      <c r="D43" s="86">
        <f>IFERROR(IF(C43=LOOKUP(B43,Spez_Tg,Festtage),"",IF(C43&lt;&gt;"",MAX(D$41:D42)+C43,"")),"")</f>
        <v>16.8</v>
      </c>
      <c r="E43" s="141">
        <f t="shared" si="16"/>
        <v>45506</v>
      </c>
      <c r="F43" s="85">
        <f t="shared" si="17"/>
        <v>8.4</v>
      </c>
      <c r="G43" s="86">
        <f>IFERROR(IF(F43=LOOKUP(E43,Spez_Tg,Festtage),"",IF(F43&lt;&gt;"",MAX(G$41:G42)+F43,"")),"")</f>
        <v>8.4</v>
      </c>
      <c r="H43" s="141">
        <f t="shared" si="18"/>
        <v>45537</v>
      </c>
      <c r="I43" s="85">
        <f t="shared" si="19"/>
        <v>8.4</v>
      </c>
      <c r="J43" s="86">
        <f>IFERROR(IF(I43=LOOKUP(H43,Spez_Tg,Festtage),"",IF(I43&lt;&gt;"",MAX(J$41:J42)+I43,"")),"")</f>
        <v>8.4</v>
      </c>
      <c r="K43" s="141">
        <f t="shared" si="20"/>
        <v>45567</v>
      </c>
      <c r="L43" s="85">
        <f t="shared" si="21"/>
        <v>8.4</v>
      </c>
      <c r="M43" s="86">
        <f>IFERROR(IF(L43=LOOKUP(K43,Spez_Tg,Festtage),"",IF(L43&lt;&gt;"",MAX(M$41:M42)+L43,"")),"")</f>
        <v>16.8</v>
      </c>
      <c r="N43" s="141">
        <f t="shared" si="22"/>
        <v>45598</v>
      </c>
      <c r="O43" s="85" t="str">
        <f t="shared" si="23"/>
        <v/>
      </c>
      <c r="P43" s="86" t="str">
        <f>IFERROR(IF(O43=LOOKUP(N43,Spez_Tg,Festtage),"",IF(O43&lt;&gt;"",MAX(P$41:P42)+O43,"")),"")</f>
        <v/>
      </c>
      <c r="Q43" s="141">
        <f t="shared" si="24"/>
        <v>45628</v>
      </c>
      <c r="R43" s="85">
        <f t="shared" si="25"/>
        <v>8.4</v>
      </c>
      <c r="S43" s="86">
        <f>IFERROR(IF(R43=LOOKUP(Q43,Spez_Tg,Festtage),"",IF(R43&lt;&gt;"",MAX(S$41:S42)+R43,"")),"")</f>
        <v>8.4</v>
      </c>
      <c r="T43" s="87">
        <v>2</v>
      </c>
    </row>
    <row r="44" spans="1:27" x14ac:dyDescent="0.25">
      <c r="A44" s="76">
        <v>3</v>
      </c>
      <c r="B44" s="120">
        <f t="shared" si="14"/>
        <v>45476</v>
      </c>
      <c r="C44" s="80">
        <f t="shared" si="15"/>
        <v>8.4</v>
      </c>
      <c r="D44" s="81">
        <f>IFERROR(IF(C44=LOOKUP(B44,Spez_Tg,Festtage),"",IF(C44&lt;&gt;"",MAX(D$41:D43)+C44,"")),"")</f>
        <v>25.200000000000003</v>
      </c>
      <c r="E44" s="120">
        <f t="shared" si="16"/>
        <v>45507</v>
      </c>
      <c r="F44" s="80" t="str">
        <f t="shared" si="17"/>
        <v/>
      </c>
      <c r="G44" s="81" t="str">
        <f>IFERROR(IF(F44=LOOKUP(E44,Spez_Tg,Festtage),"",IF(F44&lt;&gt;"",MAX(G$41:G43)+F44,"")),"")</f>
        <v/>
      </c>
      <c r="H44" s="120">
        <f t="shared" si="18"/>
        <v>45538</v>
      </c>
      <c r="I44" s="80">
        <f t="shared" si="19"/>
        <v>8.4</v>
      </c>
      <c r="J44" s="81">
        <f>IFERROR(IF(I44=LOOKUP(H44,Spez_Tg,Festtage),"",IF(I44&lt;&gt;"",MAX(J$41:J43)+I44,"")),"")</f>
        <v>16.8</v>
      </c>
      <c r="K44" s="120">
        <f t="shared" si="20"/>
        <v>45568</v>
      </c>
      <c r="L44" s="80">
        <f t="shared" si="21"/>
        <v>8.4</v>
      </c>
      <c r="M44" s="81">
        <f>IFERROR(IF(L44=LOOKUP(K44,Spez_Tg,Festtage),"",IF(L44&lt;&gt;"",MAX(M$41:M43)+L44,"")),"")</f>
        <v>25.200000000000003</v>
      </c>
      <c r="N44" s="120">
        <f t="shared" si="22"/>
        <v>45599</v>
      </c>
      <c r="O44" s="80" t="str">
        <f t="shared" si="23"/>
        <v/>
      </c>
      <c r="P44" s="81" t="str">
        <f>IFERROR(IF(O44=LOOKUP(N44,Spez_Tg,Festtage),"",IF(O44&lt;&gt;"",MAX(P$41:P43)+O44,"")),"")</f>
        <v/>
      </c>
      <c r="Q44" s="120">
        <f t="shared" si="24"/>
        <v>45629</v>
      </c>
      <c r="R44" s="80">
        <f t="shared" si="25"/>
        <v>8.4</v>
      </c>
      <c r="S44" s="81">
        <f>IFERROR(IF(R44=LOOKUP(Q44,Spez_Tg,Festtage),"",IF(R44&lt;&gt;"",MAX(S$41:S43)+R44,"")),"")</f>
        <v>16.8</v>
      </c>
      <c r="T44" s="78">
        <v>3</v>
      </c>
    </row>
    <row r="45" spans="1:27" x14ac:dyDescent="0.25">
      <c r="A45" s="83">
        <v>4</v>
      </c>
      <c r="B45" s="141">
        <f t="shared" si="14"/>
        <v>45477</v>
      </c>
      <c r="C45" s="85">
        <f t="shared" si="15"/>
        <v>8.4</v>
      </c>
      <c r="D45" s="86">
        <f>IFERROR(IF(C45=LOOKUP(B45,Spez_Tg,Festtage),"",IF(C45&lt;&gt;"",MAX(D$41:D44)+C45,"")),"")</f>
        <v>33.6</v>
      </c>
      <c r="E45" s="141">
        <f t="shared" si="16"/>
        <v>45508</v>
      </c>
      <c r="F45" s="85" t="str">
        <f t="shared" si="17"/>
        <v/>
      </c>
      <c r="G45" s="86" t="str">
        <f>IFERROR(IF(F45=LOOKUP(E45,Spez_Tg,Festtage),"",IF(F45&lt;&gt;"",MAX(G$41:G44)+F45,"")),"")</f>
        <v/>
      </c>
      <c r="H45" s="141">
        <f t="shared" si="18"/>
        <v>45539</v>
      </c>
      <c r="I45" s="85">
        <f t="shared" si="19"/>
        <v>8.4</v>
      </c>
      <c r="J45" s="86">
        <f>IFERROR(IF(I45=LOOKUP(H45,Spez_Tg,Festtage),"",IF(I45&lt;&gt;"",MAX(J$41:J44)+I45,"")),"")</f>
        <v>25.200000000000003</v>
      </c>
      <c r="K45" s="141">
        <f t="shared" si="20"/>
        <v>45569</v>
      </c>
      <c r="L45" s="85">
        <f t="shared" si="21"/>
        <v>8.4</v>
      </c>
      <c r="M45" s="86">
        <f>IFERROR(IF(L45=LOOKUP(K45,Spez_Tg,Festtage),"",IF(L45&lt;&gt;"",MAX(M$41:M44)+L45,"")),"")</f>
        <v>33.6</v>
      </c>
      <c r="N45" s="141">
        <f t="shared" si="22"/>
        <v>45600</v>
      </c>
      <c r="O45" s="85">
        <f t="shared" si="23"/>
        <v>8.4</v>
      </c>
      <c r="P45" s="86">
        <f>IFERROR(IF(O45=LOOKUP(N45,Spez_Tg,Festtage),"",IF(O45&lt;&gt;"",MAX(P$41:P44)+O45,"")),"")</f>
        <v>8.4</v>
      </c>
      <c r="Q45" s="141">
        <f t="shared" si="24"/>
        <v>45630</v>
      </c>
      <c r="R45" s="85">
        <f t="shared" si="25"/>
        <v>8.4</v>
      </c>
      <c r="S45" s="86">
        <f>IFERROR(IF(R45=LOOKUP(Q45,Spez_Tg,Festtage),"",IF(R45&lt;&gt;"",MAX(S$41:S44)+R45,"")),"")</f>
        <v>25.200000000000003</v>
      </c>
      <c r="T45" s="87">
        <v>4</v>
      </c>
      <c r="V45" s="95"/>
    </row>
    <row r="46" spans="1:27" x14ac:dyDescent="0.25">
      <c r="A46" s="76">
        <v>5</v>
      </c>
      <c r="B46" s="120">
        <f t="shared" si="14"/>
        <v>45478</v>
      </c>
      <c r="C46" s="80">
        <f t="shared" si="15"/>
        <v>8.4</v>
      </c>
      <c r="D46" s="81">
        <f>IFERROR(IF(C46=LOOKUP(B46,Spez_Tg,Festtage),"",IF(C46&lt;&gt;"",MAX(D$41:D45)+C46,"")),"")</f>
        <v>42</v>
      </c>
      <c r="E46" s="120">
        <f t="shared" si="16"/>
        <v>45509</v>
      </c>
      <c r="F46" s="80">
        <f t="shared" si="17"/>
        <v>8.4</v>
      </c>
      <c r="G46" s="81">
        <f>IFERROR(IF(F46=LOOKUP(E46,Spez_Tg,Festtage),"",IF(F46&lt;&gt;"",MAX(G$41:G45)+F46,"")),"")</f>
        <v>16.8</v>
      </c>
      <c r="H46" s="120">
        <f t="shared" si="18"/>
        <v>45540</v>
      </c>
      <c r="I46" s="80">
        <f t="shared" si="19"/>
        <v>8.4</v>
      </c>
      <c r="J46" s="81">
        <f>IFERROR(IF(I46=LOOKUP(H46,Spez_Tg,Festtage),"",IF(I46&lt;&gt;"",MAX(J$41:J45)+I46,"")),"")</f>
        <v>33.6</v>
      </c>
      <c r="K46" s="120">
        <f t="shared" si="20"/>
        <v>45570</v>
      </c>
      <c r="L46" s="80" t="str">
        <f t="shared" si="21"/>
        <v/>
      </c>
      <c r="M46" s="81" t="str">
        <f>IFERROR(IF(L46=LOOKUP(K46,Spez_Tg,Festtage),"",IF(L46&lt;&gt;"",MAX(M$41:M45)+L46,"")),"")</f>
        <v/>
      </c>
      <c r="N46" s="120">
        <f t="shared" si="22"/>
        <v>45601</v>
      </c>
      <c r="O46" s="80">
        <f t="shared" si="23"/>
        <v>8.4</v>
      </c>
      <c r="P46" s="81">
        <f>IFERROR(IF(O46=LOOKUP(N46,Spez_Tg,Festtage),"",IF(O46&lt;&gt;"",MAX(P$41:P45)+O46,"")),"")</f>
        <v>16.8</v>
      </c>
      <c r="Q46" s="120">
        <f t="shared" si="24"/>
        <v>45631</v>
      </c>
      <c r="R46" s="80">
        <f t="shared" si="25"/>
        <v>8.4</v>
      </c>
      <c r="S46" s="81">
        <f>IFERROR(IF(R46=LOOKUP(Q46,Spez_Tg,Festtage),"",IF(R46&lt;&gt;"",MAX(S$41:S45)+R46,"")),"")</f>
        <v>33.6</v>
      </c>
      <c r="T46" s="78">
        <v>5</v>
      </c>
    </row>
    <row r="47" spans="1:27" x14ac:dyDescent="0.25">
      <c r="A47" s="83">
        <v>6</v>
      </c>
      <c r="B47" s="141">
        <f t="shared" si="14"/>
        <v>45479</v>
      </c>
      <c r="C47" s="85" t="str">
        <f t="shared" si="15"/>
        <v/>
      </c>
      <c r="D47" s="86" t="str">
        <f>IFERROR(IF(C47=LOOKUP(B47,Spez_Tg,Festtage),"",IF(C47&lt;&gt;"",MAX(D$41:D46)+C47,"")),"")</f>
        <v/>
      </c>
      <c r="E47" s="141">
        <f t="shared" si="16"/>
        <v>45510</v>
      </c>
      <c r="F47" s="85">
        <f t="shared" si="17"/>
        <v>8.4</v>
      </c>
      <c r="G47" s="86">
        <f>IFERROR(IF(F47=LOOKUP(E47,Spez_Tg,Festtage),"",IF(F47&lt;&gt;"",MAX(G$41:G46)+F47,"")),"")</f>
        <v>25.200000000000003</v>
      </c>
      <c r="H47" s="141">
        <f t="shared" si="18"/>
        <v>45541</v>
      </c>
      <c r="I47" s="85">
        <f t="shared" si="19"/>
        <v>8.4</v>
      </c>
      <c r="J47" s="86">
        <f>IFERROR(IF(I47=LOOKUP(H47,Spez_Tg,Festtage),"",IF(I47&lt;&gt;"",MAX(J$41:J46)+I47,"")),"")</f>
        <v>42</v>
      </c>
      <c r="K47" s="141">
        <f t="shared" si="20"/>
        <v>45571</v>
      </c>
      <c r="L47" s="85" t="str">
        <f t="shared" si="21"/>
        <v/>
      </c>
      <c r="M47" s="86" t="str">
        <f>IFERROR(IF(L47=LOOKUP(K47,Spez_Tg,Festtage),"",IF(L47&lt;&gt;"",MAX(M$41:M46)+L47,"")),"")</f>
        <v/>
      </c>
      <c r="N47" s="141">
        <f t="shared" si="22"/>
        <v>45602</v>
      </c>
      <c r="O47" s="85">
        <f t="shared" si="23"/>
        <v>8.4</v>
      </c>
      <c r="P47" s="86">
        <f>IFERROR(IF(O47=LOOKUP(N47,Spez_Tg,Festtage),"",IF(O47&lt;&gt;"",MAX(P$41:P46)+O47,"")),"")</f>
        <v>25.200000000000003</v>
      </c>
      <c r="Q47" s="141">
        <f t="shared" si="24"/>
        <v>45632</v>
      </c>
      <c r="R47" s="85">
        <f t="shared" si="25"/>
        <v>8.4</v>
      </c>
      <c r="S47" s="86">
        <f>IFERROR(IF(R47=LOOKUP(Q47,Spez_Tg,Festtage),"",IF(R47&lt;&gt;"",MAX(S$41:S46)+R47,"")),"")</f>
        <v>42</v>
      </c>
      <c r="T47" s="87">
        <v>6</v>
      </c>
    </row>
    <row r="48" spans="1:27" x14ac:dyDescent="0.25">
      <c r="A48" s="76">
        <v>7</v>
      </c>
      <c r="B48" s="120">
        <f t="shared" si="14"/>
        <v>45480</v>
      </c>
      <c r="C48" s="80" t="str">
        <f t="shared" si="15"/>
        <v/>
      </c>
      <c r="D48" s="81" t="str">
        <f>IFERROR(IF(C48=LOOKUP(B48,Spez_Tg,Festtage),"",IF(C48&lt;&gt;"",MAX(D$41:D47)+C48,"")),"")</f>
        <v/>
      </c>
      <c r="E48" s="120">
        <f t="shared" si="16"/>
        <v>45511</v>
      </c>
      <c r="F48" s="80">
        <f t="shared" si="17"/>
        <v>8.4</v>
      </c>
      <c r="G48" s="81">
        <f>IFERROR(IF(F48=LOOKUP(E48,Spez_Tg,Festtage),"",IF(F48&lt;&gt;"",MAX(G$41:G47)+F48,"")),"")</f>
        <v>33.6</v>
      </c>
      <c r="H48" s="120">
        <f t="shared" si="18"/>
        <v>45542</v>
      </c>
      <c r="I48" s="80" t="str">
        <f t="shared" si="19"/>
        <v/>
      </c>
      <c r="J48" s="81" t="str">
        <f>IFERROR(IF(I48=LOOKUP(H48,Spez_Tg,Festtage),"",IF(I48&lt;&gt;"",MAX(J$41:J47)+I48,"")),"")</f>
        <v/>
      </c>
      <c r="K48" s="120">
        <f t="shared" si="20"/>
        <v>45572</v>
      </c>
      <c r="L48" s="80">
        <f t="shared" si="21"/>
        <v>8.4</v>
      </c>
      <c r="M48" s="81">
        <f>IFERROR(IF(L48=LOOKUP(K48,Spez_Tg,Festtage),"",IF(L48&lt;&gt;"",MAX(M$41:M47)+L48,"")),"")</f>
        <v>42</v>
      </c>
      <c r="N48" s="120">
        <f t="shared" si="22"/>
        <v>45603</v>
      </c>
      <c r="O48" s="80">
        <f t="shared" si="23"/>
        <v>8.4</v>
      </c>
      <c r="P48" s="81">
        <f>IFERROR(IF(O48=LOOKUP(N48,Spez_Tg,Festtage),"",IF(O48&lt;&gt;"",MAX(P$41:P47)+O48,"")),"")</f>
        <v>33.6</v>
      </c>
      <c r="Q48" s="120">
        <f t="shared" si="24"/>
        <v>45633</v>
      </c>
      <c r="R48" s="80" t="str">
        <f t="shared" si="25"/>
        <v/>
      </c>
      <c r="S48" s="81" t="str">
        <f>IFERROR(IF(R48=LOOKUP(Q48,Spez_Tg,Festtage),"",IF(R48&lt;&gt;"",MAX(S$41:S47)+R48,"")),"")</f>
        <v/>
      </c>
      <c r="T48" s="78">
        <v>7</v>
      </c>
    </row>
    <row r="49" spans="1:20" x14ac:dyDescent="0.25">
      <c r="A49" s="83">
        <v>8</v>
      </c>
      <c r="B49" s="141">
        <f t="shared" si="14"/>
        <v>45481</v>
      </c>
      <c r="C49" s="85">
        <f t="shared" si="15"/>
        <v>8.4</v>
      </c>
      <c r="D49" s="86">
        <f>IFERROR(IF(C49=LOOKUP(B49,Spez_Tg,Festtage),"",IF(C49&lt;&gt;"",MAX(D$41:D48)+C49,"")),"")</f>
        <v>50.4</v>
      </c>
      <c r="E49" s="141">
        <f t="shared" si="16"/>
        <v>45512</v>
      </c>
      <c r="F49" s="85">
        <f t="shared" si="17"/>
        <v>8.4</v>
      </c>
      <c r="G49" s="86">
        <f>IFERROR(IF(F49=LOOKUP(E49,Spez_Tg,Festtage),"",IF(F49&lt;&gt;"",MAX(G$41:G48)+F49,"")),"")</f>
        <v>42</v>
      </c>
      <c r="H49" s="141">
        <f t="shared" si="18"/>
        <v>45543</v>
      </c>
      <c r="I49" s="85" t="str">
        <f t="shared" si="19"/>
        <v/>
      </c>
      <c r="J49" s="86" t="str">
        <f>IFERROR(IF(I49=LOOKUP(H49,Spez_Tg,Festtage),"",IF(I49&lt;&gt;"",MAX(J$41:J48)+I49,"")),"")</f>
        <v/>
      </c>
      <c r="K49" s="141">
        <f t="shared" si="20"/>
        <v>45573</v>
      </c>
      <c r="L49" s="85">
        <f t="shared" si="21"/>
        <v>8.4</v>
      </c>
      <c r="M49" s="86">
        <f>IFERROR(IF(L49=LOOKUP(K49,Spez_Tg,Festtage),"",IF(L49&lt;&gt;"",MAX(M$41:M48)+L49,"")),"")</f>
        <v>50.4</v>
      </c>
      <c r="N49" s="141">
        <f t="shared" si="22"/>
        <v>45604</v>
      </c>
      <c r="O49" s="85">
        <f t="shared" si="23"/>
        <v>8.4</v>
      </c>
      <c r="P49" s="86">
        <f>IFERROR(IF(O49=LOOKUP(N49,Spez_Tg,Festtage),"",IF(O49&lt;&gt;"",MAX(P$41:P48)+O49,"")),"")</f>
        <v>42</v>
      </c>
      <c r="Q49" s="141">
        <f t="shared" si="24"/>
        <v>45634</v>
      </c>
      <c r="R49" s="85" t="str">
        <f t="shared" si="25"/>
        <v/>
      </c>
      <c r="S49" s="86" t="str">
        <f>IFERROR(IF(R49=LOOKUP(Q49,Spez_Tg,Festtage),"",IF(R49&lt;&gt;"",MAX(S$41:S48)+R49,"")),"")</f>
        <v/>
      </c>
      <c r="T49" s="87">
        <v>8</v>
      </c>
    </row>
    <row r="50" spans="1:20" x14ac:dyDescent="0.25">
      <c r="A50" s="76">
        <v>9</v>
      </c>
      <c r="B50" s="120">
        <f t="shared" si="14"/>
        <v>45482</v>
      </c>
      <c r="C50" s="80">
        <f t="shared" si="15"/>
        <v>8.4</v>
      </c>
      <c r="D50" s="81">
        <f>IFERROR(IF(C50=LOOKUP(B50,Spez_Tg,Festtage),"",IF(C50&lt;&gt;"",MAX(D$41:D49)+C50,"")),"")</f>
        <v>58.8</v>
      </c>
      <c r="E50" s="120">
        <f t="shared" si="16"/>
        <v>45513</v>
      </c>
      <c r="F50" s="80">
        <f t="shared" si="17"/>
        <v>8.4</v>
      </c>
      <c r="G50" s="81">
        <f>IFERROR(IF(F50=LOOKUP(E50,Spez_Tg,Festtage),"",IF(F50&lt;&gt;"",MAX(G$41:G49)+F50,"")),"")</f>
        <v>50.4</v>
      </c>
      <c r="H50" s="120">
        <f t="shared" si="18"/>
        <v>45544</v>
      </c>
      <c r="I50" s="80">
        <f t="shared" si="19"/>
        <v>8.4</v>
      </c>
      <c r="J50" s="81">
        <f>IFERROR(IF(I50=LOOKUP(H50,Spez_Tg,Festtage),"",IF(I50&lt;&gt;"",MAX(J$41:J49)+I50,"")),"")</f>
        <v>50.4</v>
      </c>
      <c r="K50" s="120">
        <f t="shared" si="20"/>
        <v>45574</v>
      </c>
      <c r="L50" s="80">
        <f t="shared" si="21"/>
        <v>8.4</v>
      </c>
      <c r="M50" s="81">
        <f>IFERROR(IF(L50=LOOKUP(K50,Spez_Tg,Festtage),"",IF(L50&lt;&gt;"",MAX(M$41:M49)+L50,"")),"")</f>
        <v>58.8</v>
      </c>
      <c r="N50" s="120">
        <f t="shared" si="22"/>
        <v>45605</v>
      </c>
      <c r="O50" s="80" t="str">
        <f t="shared" si="23"/>
        <v/>
      </c>
      <c r="P50" s="81" t="str">
        <f>IFERROR(IF(O50=LOOKUP(N50,Spez_Tg,Festtage),"",IF(O50&lt;&gt;"",MAX(P$41:P49)+O50,"")),"")</f>
        <v/>
      </c>
      <c r="Q50" s="120">
        <f t="shared" si="24"/>
        <v>45635</v>
      </c>
      <c r="R50" s="80">
        <f t="shared" si="25"/>
        <v>8.4</v>
      </c>
      <c r="S50" s="81">
        <f>IFERROR(IF(R50=LOOKUP(Q50,Spez_Tg,Festtage),"",IF(R50&lt;&gt;"",MAX(S$41:S49)+R50,"")),"")</f>
        <v>50.4</v>
      </c>
      <c r="T50" s="78">
        <v>9</v>
      </c>
    </row>
    <row r="51" spans="1:20" x14ac:dyDescent="0.25">
      <c r="A51" s="83">
        <v>10</v>
      </c>
      <c r="B51" s="141">
        <f t="shared" si="14"/>
        <v>45483</v>
      </c>
      <c r="C51" s="85">
        <f t="shared" si="15"/>
        <v>8.4</v>
      </c>
      <c r="D51" s="86">
        <f>IFERROR(IF(C51=LOOKUP(B51,Spez_Tg,Festtage),"",IF(C51&lt;&gt;"",MAX(D$41:D50)+C51,"")),"")</f>
        <v>67.2</v>
      </c>
      <c r="E51" s="141">
        <f t="shared" si="16"/>
        <v>45514</v>
      </c>
      <c r="F51" s="85" t="str">
        <f t="shared" si="17"/>
        <v/>
      </c>
      <c r="G51" s="86" t="str">
        <f>IFERROR(IF(F51=LOOKUP(E51,Spez_Tg,Festtage),"",IF(F51&lt;&gt;"",MAX(G$41:G50)+F51,"")),"")</f>
        <v/>
      </c>
      <c r="H51" s="141">
        <f t="shared" si="18"/>
        <v>45545</v>
      </c>
      <c r="I51" s="85">
        <f t="shared" si="19"/>
        <v>8.4</v>
      </c>
      <c r="J51" s="86">
        <f>IFERROR(IF(I51=LOOKUP(H51,Spez_Tg,Festtage),"",IF(I51&lt;&gt;"",MAX(J$41:J50)+I51,"")),"")</f>
        <v>58.8</v>
      </c>
      <c r="K51" s="141">
        <f t="shared" si="20"/>
        <v>45575</v>
      </c>
      <c r="L51" s="85">
        <f t="shared" si="21"/>
        <v>8.4</v>
      </c>
      <c r="M51" s="86">
        <f>IFERROR(IF(L51=LOOKUP(K51,Spez_Tg,Festtage),"",IF(L51&lt;&gt;"",MAX(M$41:M50)+L51,"")),"")</f>
        <v>67.2</v>
      </c>
      <c r="N51" s="141">
        <f t="shared" si="22"/>
        <v>45606</v>
      </c>
      <c r="O51" s="85" t="str">
        <f t="shared" si="23"/>
        <v/>
      </c>
      <c r="P51" s="86" t="str">
        <f>IFERROR(IF(O51=LOOKUP(N51,Spez_Tg,Festtage),"",IF(O51&lt;&gt;"",MAX(P$41:P50)+O51,"")),"")</f>
        <v/>
      </c>
      <c r="Q51" s="141">
        <f t="shared" si="24"/>
        <v>45636</v>
      </c>
      <c r="R51" s="85">
        <f t="shared" si="25"/>
        <v>8.4</v>
      </c>
      <c r="S51" s="86">
        <f>IFERROR(IF(R51=LOOKUP(Q51,Spez_Tg,Festtage),"",IF(R51&lt;&gt;"",MAX(S$41:S50)+R51,"")),"")</f>
        <v>58.8</v>
      </c>
      <c r="T51" s="87">
        <v>10</v>
      </c>
    </row>
    <row r="52" spans="1:20" x14ac:dyDescent="0.25">
      <c r="A52" s="76">
        <v>11</v>
      </c>
      <c r="B52" s="120">
        <f t="shared" si="14"/>
        <v>45484</v>
      </c>
      <c r="C52" s="80">
        <f t="shared" si="15"/>
        <v>8.4</v>
      </c>
      <c r="D52" s="81">
        <f>IFERROR(IF(C52=LOOKUP(B52,Spez_Tg,Festtage),"",IF(C52&lt;&gt;"",MAX(D$41:D51)+C52,"")),"")</f>
        <v>75.600000000000009</v>
      </c>
      <c r="E52" s="120">
        <f t="shared" si="16"/>
        <v>45515</v>
      </c>
      <c r="F52" s="80" t="str">
        <f t="shared" si="17"/>
        <v/>
      </c>
      <c r="G52" s="81" t="str">
        <f>IFERROR(IF(F52=LOOKUP(E52,Spez_Tg,Festtage),"",IF(F52&lt;&gt;"",MAX(G$41:G51)+F52,"")),"")</f>
        <v/>
      </c>
      <c r="H52" s="120">
        <f t="shared" si="18"/>
        <v>45546</v>
      </c>
      <c r="I52" s="80">
        <f t="shared" si="19"/>
        <v>8.4</v>
      </c>
      <c r="J52" s="81">
        <f>IFERROR(IF(I52=LOOKUP(H52,Spez_Tg,Festtage),"",IF(I52&lt;&gt;"",MAX(J$41:J51)+I52,"")),"")</f>
        <v>67.2</v>
      </c>
      <c r="K52" s="120">
        <f t="shared" si="20"/>
        <v>45576</v>
      </c>
      <c r="L52" s="80">
        <f t="shared" si="21"/>
        <v>8.4</v>
      </c>
      <c r="M52" s="81">
        <f>IFERROR(IF(L52=LOOKUP(K52,Spez_Tg,Festtage),"",IF(L52&lt;&gt;"",MAX(M$41:M51)+L52,"")),"")</f>
        <v>75.600000000000009</v>
      </c>
      <c r="N52" s="120">
        <f t="shared" si="22"/>
        <v>45607</v>
      </c>
      <c r="O52" s="80">
        <f t="shared" si="23"/>
        <v>8.4</v>
      </c>
      <c r="P52" s="81">
        <f>IFERROR(IF(O52=LOOKUP(N52,Spez_Tg,Festtage),"",IF(O52&lt;&gt;"",MAX(P$41:P51)+O52,"")),"")</f>
        <v>50.4</v>
      </c>
      <c r="Q52" s="120">
        <f t="shared" si="24"/>
        <v>45637</v>
      </c>
      <c r="R52" s="80">
        <f t="shared" si="25"/>
        <v>8.4</v>
      </c>
      <c r="S52" s="81">
        <f>IFERROR(IF(R52=LOOKUP(Q52,Spez_Tg,Festtage),"",IF(R52&lt;&gt;"",MAX(S$41:S51)+R52,"")),"")</f>
        <v>67.2</v>
      </c>
      <c r="T52" s="78">
        <v>11</v>
      </c>
    </row>
    <row r="53" spans="1:20" x14ac:dyDescent="0.25">
      <c r="A53" s="83">
        <v>12</v>
      </c>
      <c r="B53" s="141">
        <f t="shared" si="14"/>
        <v>45485</v>
      </c>
      <c r="C53" s="85">
        <f t="shared" si="15"/>
        <v>8.4</v>
      </c>
      <c r="D53" s="86">
        <f>IFERROR(IF(C53=LOOKUP(B53,Spez_Tg,Festtage),"",IF(C53&lt;&gt;"",MAX(D$41:D52)+C53,"")),"")</f>
        <v>84.000000000000014</v>
      </c>
      <c r="E53" s="141">
        <f t="shared" si="16"/>
        <v>45516</v>
      </c>
      <c r="F53" s="85">
        <f t="shared" si="17"/>
        <v>8.4</v>
      </c>
      <c r="G53" s="86">
        <f>IFERROR(IF(F53=LOOKUP(E53,Spez_Tg,Festtage),"",IF(F53&lt;&gt;"",MAX(G$41:G52)+F53,"")),"")</f>
        <v>58.8</v>
      </c>
      <c r="H53" s="141">
        <f t="shared" si="18"/>
        <v>45547</v>
      </c>
      <c r="I53" s="85">
        <f t="shared" si="19"/>
        <v>8.4</v>
      </c>
      <c r="J53" s="86">
        <f>IFERROR(IF(I53=LOOKUP(H53,Spez_Tg,Festtage),"",IF(I53&lt;&gt;"",MAX(J$41:J52)+I53,"")),"")</f>
        <v>75.600000000000009</v>
      </c>
      <c r="K53" s="141">
        <f t="shared" si="20"/>
        <v>45577</v>
      </c>
      <c r="L53" s="85" t="str">
        <f t="shared" si="21"/>
        <v/>
      </c>
      <c r="M53" s="86" t="str">
        <f>IFERROR(IF(L53=LOOKUP(K53,Spez_Tg,Festtage),"",IF(L53&lt;&gt;"",MAX(M$41:M52)+L53,"")),"")</f>
        <v/>
      </c>
      <c r="N53" s="141">
        <f t="shared" si="22"/>
        <v>45608</v>
      </c>
      <c r="O53" s="85">
        <f t="shared" si="23"/>
        <v>8.4</v>
      </c>
      <c r="P53" s="86">
        <f>IFERROR(IF(O53=LOOKUP(N53,Spez_Tg,Festtage),"",IF(O53&lt;&gt;"",MAX(P$41:P52)+O53,"")),"")</f>
        <v>58.8</v>
      </c>
      <c r="Q53" s="141">
        <f t="shared" si="24"/>
        <v>45638</v>
      </c>
      <c r="R53" s="85">
        <f t="shared" si="25"/>
        <v>8.4</v>
      </c>
      <c r="S53" s="86">
        <f>IFERROR(IF(R53=LOOKUP(Q53,Spez_Tg,Festtage),"",IF(R53&lt;&gt;"",MAX(S$41:S52)+R53,"")),"")</f>
        <v>75.600000000000009</v>
      </c>
      <c r="T53" s="87">
        <v>12</v>
      </c>
    </row>
    <row r="54" spans="1:20" x14ac:dyDescent="0.25">
      <c r="A54" s="76">
        <v>13</v>
      </c>
      <c r="B54" s="120">
        <f t="shared" si="14"/>
        <v>45486</v>
      </c>
      <c r="C54" s="80" t="str">
        <f t="shared" si="15"/>
        <v/>
      </c>
      <c r="D54" s="81" t="str">
        <f>IFERROR(IF(C54=LOOKUP(B54,Spez_Tg,Festtage),"",IF(C54&lt;&gt;"",MAX(D$41:D53)+C54,"")),"")</f>
        <v/>
      </c>
      <c r="E54" s="120">
        <f t="shared" si="16"/>
        <v>45517</v>
      </c>
      <c r="F54" s="80">
        <f t="shared" si="17"/>
        <v>8.4</v>
      </c>
      <c r="G54" s="81">
        <f>IFERROR(IF(F54=LOOKUP(E54,Spez_Tg,Festtage),"",IF(F54&lt;&gt;"",MAX(G$41:G53)+F54,"")),"")</f>
        <v>67.2</v>
      </c>
      <c r="H54" s="120">
        <f t="shared" si="18"/>
        <v>45548</v>
      </c>
      <c r="I54" s="80">
        <f t="shared" si="19"/>
        <v>8.4</v>
      </c>
      <c r="J54" s="81">
        <f>IFERROR(IF(I54=LOOKUP(H54,Spez_Tg,Festtage),"",IF(I54&lt;&gt;"",MAX(J$41:J53)+I54,"")),"")</f>
        <v>84.000000000000014</v>
      </c>
      <c r="K54" s="120">
        <f t="shared" si="20"/>
        <v>45578</v>
      </c>
      <c r="L54" s="80" t="str">
        <f t="shared" si="21"/>
        <v/>
      </c>
      <c r="M54" s="81" t="str">
        <f>IFERROR(IF(L54=LOOKUP(K54,Spez_Tg,Festtage),"",IF(L54&lt;&gt;"",MAX(M$41:M53)+L54,"")),"")</f>
        <v/>
      </c>
      <c r="N54" s="120">
        <f t="shared" si="22"/>
        <v>45609</v>
      </c>
      <c r="O54" s="80">
        <f t="shared" si="23"/>
        <v>8.4</v>
      </c>
      <c r="P54" s="81">
        <f>IFERROR(IF(O54=LOOKUP(N54,Spez_Tg,Festtage),"",IF(O54&lt;&gt;"",MAX(P$41:P53)+O54,"")),"")</f>
        <v>67.2</v>
      </c>
      <c r="Q54" s="120">
        <f t="shared" si="24"/>
        <v>45639</v>
      </c>
      <c r="R54" s="80">
        <f t="shared" si="25"/>
        <v>8.4</v>
      </c>
      <c r="S54" s="81">
        <f>IFERROR(IF(R54=LOOKUP(Q54,Spez_Tg,Festtage),"",IF(R54&lt;&gt;"",MAX(S$41:S53)+R54,"")),"")</f>
        <v>84.000000000000014</v>
      </c>
      <c r="T54" s="78">
        <v>13</v>
      </c>
    </row>
    <row r="55" spans="1:20" x14ac:dyDescent="0.25">
      <c r="A55" s="83">
        <v>14</v>
      </c>
      <c r="B55" s="141">
        <f t="shared" si="14"/>
        <v>45487</v>
      </c>
      <c r="C55" s="85" t="str">
        <f t="shared" si="15"/>
        <v/>
      </c>
      <c r="D55" s="86" t="str">
        <f>IFERROR(IF(C55=LOOKUP(B55,Spez_Tg,Festtage),"",IF(C55&lt;&gt;"",MAX(D$41:D54)+C55,"")),"")</f>
        <v/>
      </c>
      <c r="E55" s="141">
        <f t="shared" si="16"/>
        <v>45518</v>
      </c>
      <c r="F55" s="85">
        <f t="shared" si="17"/>
        <v>8.4</v>
      </c>
      <c r="G55" s="86">
        <f>IFERROR(IF(F55=LOOKUP(E55,Spez_Tg,Festtage),"",IF(F55&lt;&gt;"",MAX(G$41:G54)+F55,"")),"")</f>
        <v>75.600000000000009</v>
      </c>
      <c r="H55" s="141">
        <f t="shared" si="18"/>
        <v>45549</v>
      </c>
      <c r="I55" s="85" t="str">
        <f t="shared" si="19"/>
        <v/>
      </c>
      <c r="J55" s="86" t="str">
        <f>IFERROR(IF(I55=LOOKUP(H55,Spez_Tg,Festtage),"",IF(I55&lt;&gt;"",MAX(J$41:J54)+I55,"")),"")</f>
        <v/>
      </c>
      <c r="K55" s="141">
        <f t="shared" si="20"/>
        <v>45579</v>
      </c>
      <c r="L55" s="85">
        <f t="shared" si="21"/>
        <v>8.4</v>
      </c>
      <c r="M55" s="86">
        <f>IFERROR(IF(L55=LOOKUP(K55,Spez_Tg,Festtage),"",IF(L55&lt;&gt;"",MAX(M$41:M54)+L55,"")),"")</f>
        <v>84.000000000000014</v>
      </c>
      <c r="N55" s="141">
        <f t="shared" si="22"/>
        <v>45610</v>
      </c>
      <c r="O55" s="85">
        <f t="shared" si="23"/>
        <v>8.4</v>
      </c>
      <c r="P55" s="86">
        <f>IFERROR(IF(O55=LOOKUP(N55,Spez_Tg,Festtage),"",IF(O55&lt;&gt;"",MAX(P$41:P54)+O55,"")),"")</f>
        <v>75.600000000000009</v>
      </c>
      <c r="Q55" s="141">
        <f t="shared" si="24"/>
        <v>45640</v>
      </c>
      <c r="R55" s="85" t="str">
        <f t="shared" si="25"/>
        <v/>
      </c>
      <c r="S55" s="86" t="str">
        <f>IFERROR(IF(R55=LOOKUP(Q55,Spez_Tg,Festtage),"",IF(R55&lt;&gt;"",MAX(S$41:S54)+R55,"")),"")</f>
        <v/>
      </c>
      <c r="T55" s="87">
        <v>14</v>
      </c>
    </row>
    <row r="56" spans="1:20" x14ac:dyDescent="0.25">
      <c r="A56" s="76">
        <v>15</v>
      </c>
      <c r="B56" s="120">
        <f t="shared" si="14"/>
        <v>45488</v>
      </c>
      <c r="C56" s="80">
        <f t="shared" si="15"/>
        <v>8.4</v>
      </c>
      <c r="D56" s="81">
        <f>IFERROR(IF(C56=LOOKUP(B56,Spez_Tg,Festtage),"",IF(C56&lt;&gt;"",MAX(D$41:D55)+C56,"")),"")</f>
        <v>92.40000000000002</v>
      </c>
      <c r="E56" s="120">
        <f t="shared" si="16"/>
        <v>45519</v>
      </c>
      <c r="F56" s="80">
        <f t="shared" si="17"/>
        <v>8.4</v>
      </c>
      <c r="G56" s="81">
        <f>IFERROR(IF(F56=LOOKUP(E56,Spez_Tg,Festtage),"",IF(F56&lt;&gt;"",MAX(G$41:G55)+F56,"")),"")</f>
        <v>84.000000000000014</v>
      </c>
      <c r="H56" s="120">
        <f t="shared" si="18"/>
        <v>45550</v>
      </c>
      <c r="I56" s="80" t="str">
        <f t="shared" si="19"/>
        <v/>
      </c>
      <c r="J56" s="81" t="str">
        <f>IFERROR(IF(I56=LOOKUP(H56,Spez_Tg,Festtage),"",IF(I56&lt;&gt;"",MAX(J$41:J55)+I56,"")),"")</f>
        <v/>
      </c>
      <c r="K56" s="120">
        <f t="shared" si="20"/>
        <v>45580</v>
      </c>
      <c r="L56" s="80">
        <f t="shared" si="21"/>
        <v>8.4</v>
      </c>
      <c r="M56" s="81">
        <f>IFERROR(IF(L56=LOOKUP(K56,Spez_Tg,Festtage),"",IF(L56&lt;&gt;"",MAX(M$41:M55)+L56,"")),"")</f>
        <v>92.40000000000002</v>
      </c>
      <c r="N56" s="120">
        <f t="shared" si="22"/>
        <v>45611</v>
      </c>
      <c r="O56" s="80">
        <f t="shared" si="23"/>
        <v>8.4</v>
      </c>
      <c r="P56" s="81">
        <f>IFERROR(IF(O56=LOOKUP(N56,Spez_Tg,Festtage),"",IF(O56&lt;&gt;"",MAX(P$41:P55)+O56,"")),"")</f>
        <v>84.000000000000014</v>
      </c>
      <c r="Q56" s="120">
        <f t="shared" si="24"/>
        <v>45641</v>
      </c>
      <c r="R56" s="80" t="str">
        <f t="shared" si="25"/>
        <v/>
      </c>
      <c r="S56" s="81" t="str">
        <f>IFERROR(IF(R56=LOOKUP(Q56,Spez_Tg,Festtage),"",IF(R56&lt;&gt;"",MAX(S$41:S55)+R56,"")),"")</f>
        <v/>
      </c>
      <c r="T56" s="78">
        <v>15</v>
      </c>
    </row>
    <row r="57" spans="1:20" x14ac:dyDescent="0.25">
      <c r="A57" s="83">
        <v>16</v>
      </c>
      <c r="B57" s="141">
        <f t="shared" si="14"/>
        <v>45489</v>
      </c>
      <c r="C57" s="85">
        <f t="shared" si="15"/>
        <v>8.4</v>
      </c>
      <c r="D57" s="86">
        <f>IFERROR(IF(C57=LOOKUP(B57,Spez_Tg,Festtage),"",IF(C57&lt;&gt;"",MAX(D$41:D56)+C57,"")),"")</f>
        <v>100.80000000000003</v>
      </c>
      <c r="E57" s="141">
        <f t="shared" si="16"/>
        <v>45520</v>
      </c>
      <c r="F57" s="85">
        <f t="shared" si="17"/>
        <v>8.4</v>
      </c>
      <c r="G57" s="86">
        <f>IFERROR(IF(F57=LOOKUP(E57,Spez_Tg,Festtage),"",IF(F57&lt;&gt;"",MAX(G$41:G56)+F57,"")),"")</f>
        <v>92.40000000000002</v>
      </c>
      <c r="H57" s="141">
        <f t="shared" si="18"/>
        <v>45551</v>
      </c>
      <c r="I57" s="85">
        <f t="shared" si="19"/>
        <v>8.4</v>
      </c>
      <c r="J57" s="86">
        <f>IFERROR(IF(I57=LOOKUP(H57,Spez_Tg,Festtage),"",IF(I57&lt;&gt;"",MAX(J$41:J56)+I57,"")),"")</f>
        <v>92.40000000000002</v>
      </c>
      <c r="K57" s="141">
        <f t="shared" si="20"/>
        <v>45581</v>
      </c>
      <c r="L57" s="85">
        <f t="shared" si="21"/>
        <v>8.4</v>
      </c>
      <c r="M57" s="86">
        <f>IFERROR(IF(L57=LOOKUP(K57,Spez_Tg,Festtage),"",IF(L57&lt;&gt;"",MAX(M$41:M56)+L57,"")),"")</f>
        <v>100.80000000000003</v>
      </c>
      <c r="N57" s="141">
        <f t="shared" si="22"/>
        <v>45612</v>
      </c>
      <c r="O57" s="85" t="str">
        <f t="shared" si="23"/>
        <v/>
      </c>
      <c r="P57" s="86" t="str">
        <f>IFERROR(IF(O57=LOOKUP(N57,Spez_Tg,Festtage),"",IF(O57&lt;&gt;"",MAX(P$41:P56)+O57,"")),"")</f>
        <v/>
      </c>
      <c r="Q57" s="141">
        <f t="shared" si="24"/>
        <v>45642</v>
      </c>
      <c r="R57" s="85">
        <f t="shared" si="25"/>
        <v>8.4</v>
      </c>
      <c r="S57" s="86">
        <f>IFERROR(IF(R57=LOOKUP(Q57,Spez_Tg,Festtage),"",IF(R57&lt;&gt;"",MAX(S$41:S56)+R57,"")),"")</f>
        <v>92.40000000000002</v>
      </c>
      <c r="T57" s="87">
        <v>16</v>
      </c>
    </row>
    <row r="58" spans="1:20" x14ac:dyDescent="0.25">
      <c r="A58" s="76">
        <v>17</v>
      </c>
      <c r="B58" s="120">
        <f t="shared" si="14"/>
        <v>45490</v>
      </c>
      <c r="C58" s="80">
        <f t="shared" si="15"/>
        <v>8.4</v>
      </c>
      <c r="D58" s="81">
        <f>IFERROR(IF(C58=LOOKUP(B58,Spez_Tg,Festtage),"",IF(C58&lt;&gt;"",MAX(D$41:D57)+C58,"")),"")</f>
        <v>109.20000000000003</v>
      </c>
      <c r="E58" s="120">
        <f t="shared" si="16"/>
        <v>45521</v>
      </c>
      <c r="F58" s="80" t="str">
        <f t="shared" si="17"/>
        <v/>
      </c>
      <c r="G58" s="81" t="str">
        <f>IFERROR(IF(F58=LOOKUP(E58,Spez_Tg,Festtage),"",IF(F58&lt;&gt;"",MAX(G$41:G57)+F58,"")),"")</f>
        <v/>
      </c>
      <c r="H58" s="120">
        <f t="shared" si="18"/>
        <v>45552</v>
      </c>
      <c r="I58" s="80">
        <f t="shared" si="19"/>
        <v>8.4</v>
      </c>
      <c r="J58" s="81">
        <f>IFERROR(IF(I58=LOOKUP(H58,Spez_Tg,Festtage),"",IF(I58&lt;&gt;"",MAX(J$41:J57)+I58,"")),"")</f>
        <v>100.80000000000003</v>
      </c>
      <c r="K58" s="120">
        <f t="shared" si="20"/>
        <v>45582</v>
      </c>
      <c r="L58" s="80">
        <f t="shared" si="21"/>
        <v>8.4</v>
      </c>
      <c r="M58" s="81">
        <f>IFERROR(IF(L58=LOOKUP(K58,Spez_Tg,Festtage),"",IF(L58&lt;&gt;"",MAX(M$41:M57)+L58,"")),"")</f>
        <v>109.20000000000003</v>
      </c>
      <c r="N58" s="120">
        <f t="shared" si="22"/>
        <v>45613</v>
      </c>
      <c r="O58" s="80" t="str">
        <f t="shared" si="23"/>
        <v/>
      </c>
      <c r="P58" s="81" t="str">
        <f>IFERROR(IF(O58=LOOKUP(N58,Spez_Tg,Festtage),"",IF(O58&lt;&gt;"",MAX(P$41:P57)+O58,"")),"")</f>
        <v/>
      </c>
      <c r="Q58" s="120">
        <f t="shared" si="24"/>
        <v>45643</v>
      </c>
      <c r="R58" s="80">
        <f t="shared" si="25"/>
        <v>8.4</v>
      </c>
      <c r="S58" s="81">
        <f>IFERROR(IF(R58=LOOKUP(Q58,Spez_Tg,Festtage),"",IF(R58&lt;&gt;"",MAX(S$41:S57)+R58,"")),"")</f>
        <v>100.80000000000003</v>
      </c>
      <c r="T58" s="78">
        <v>17</v>
      </c>
    </row>
    <row r="59" spans="1:20" x14ac:dyDescent="0.25">
      <c r="A59" s="83">
        <v>18</v>
      </c>
      <c r="B59" s="141">
        <f t="shared" si="14"/>
        <v>45491</v>
      </c>
      <c r="C59" s="85">
        <f t="shared" si="15"/>
        <v>8.4</v>
      </c>
      <c r="D59" s="86">
        <f>IFERROR(IF(C59=LOOKUP(B59,Spez_Tg,Festtage),"",IF(C59&lt;&gt;"",MAX(D$41:D58)+C59,"")),"")</f>
        <v>117.60000000000004</v>
      </c>
      <c r="E59" s="141">
        <f t="shared" si="16"/>
        <v>45522</v>
      </c>
      <c r="F59" s="85" t="str">
        <f t="shared" si="17"/>
        <v/>
      </c>
      <c r="G59" s="86" t="str">
        <f>IFERROR(IF(F59=LOOKUP(E59,Spez_Tg,Festtage),"",IF(F59&lt;&gt;"",MAX(G$41:G58)+F59,"")),"")</f>
        <v/>
      </c>
      <c r="H59" s="141">
        <f t="shared" si="18"/>
        <v>45553</v>
      </c>
      <c r="I59" s="85">
        <f t="shared" si="19"/>
        <v>8.4</v>
      </c>
      <c r="J59" s="86">
        <f>IFERROR(IF(I59=LOOKUP(H59,Spez_Tg,Festtage),"",IF(I59&lt;&gt;"",MAX(J$41:J58)+I59,"")),"")</f>
        <v>109.20000000000003</v>
      </c>
      <c r="K59" s="141">
        <f t="shared" si="20"/>
        <v>45583</v>
      </c>
      <c r="L59" s="85">
        <f t="shared" si="21"/>
        <v>8.4</v>
      </c>
      <c r="M59" s="86">
        <f>IFERROR(IF(L59=LOOKUP(K59,Spez_Tg,Festtage),"",IF(L59&lt;&gt;"",MAX(M$41:M58)+L59,"")),"")</f>
        <v>117.60000000000004</v>
      </c>
      <c r="N59" s="141">
        <f t="shared" si="22"/>
        <v>45614</v>
      </c>
      <c r="O59" s="85">
        <f t="shared" si="23"/>
        <v>8.4</v>
      </c>
      <c r="P59" s="86">
        <f>IFERROR(IF(O59=LOOKUP(N59,Spez_Tg,Festtage),"",IF(O59&lt;&gt;"",MAX(P$41:P58)+O59,"")),"")</f>
        <v>92.40000000000002</v>
      </c>
      <c r="Q59" s="141">
        <f t="shared" si="24"/>
        <v>45644</v>
      </c>
      <c r="R59" s="85">
        <f t="shared" si="25"/>
        <v>8.4</v>
      </c>
      <c r="S59" s="86">
        <f>IFERROR(IF(R59=LOOKUP(Q59,Spez_Tg,Festtage),"",IF(R59&lt;&gt;"",MAX(S$41:S58)+R59,"")),"")</f>
        <v>109.20000000000003</v>
      </c>
      <c r="T59" s="87">
        <v>18</v>
      </c>
    </row>
    <row r="60" spans="1:20" x14ac:dyDescent="0.25">
      <c r="A60" s="76">
        <v>19</v>
      </c>
      <c r="B60" s="120">
        <f t="shared" si="14"/>
        <v>45492</v>
      </c>
      <c r="C60" s="80">
        <f t="shared" si="15"/>
        <v>8.4</v>
      </c>
      <c r="D60" s="81">
        <f>IFERROR(IF(C60=LOOKUP(B60,Spez_Tg,Festtage),"",IF(C60&lt;&gt;"",MAX(D$41:D59)+C60,"")),"")</f>
        <v>126.00000000000004</v>
      </c>
      <c r="E60" s="120">
        <f t="shared" si="16"/>
        <v>45523</v>
      </c>
      <c r="F60" s="80">
        <f t="shared" si="17"/>
        <v>8.4</v>
      </c>
      <c r="G60" s="81">
        <f>IFERROR(IF(F60=LOOKUP(E60,Spez_Tg,Festtage),"",IF(F60&lt;&gt;"",MAX(G$41:G59)+F60,"")),"")</f>
        <v>100.80000000000003</v>
      </c>
      <c r="H60" s="120">
        <f t="shared" si="18"/>
        <v>45554</v>
      </c>
      <c r="I60" s="80">
        <f t="shared" si="19"/>
        <v>8.4</v>
      </c>
      <c r="J60" s="81">
        <f>IFERROR(IF(I60=LOOKUP(H60,Spez_Tg,Festtage),"",IF(I60&lt;&gt;"",MAX(J$41:J59)+I60,"")),"")</f>
        <v>117.60000000000004</v>
      </c>
      <c r="K60" s="120">
        <f t="shared" si="20"/>
        <v>45584</v>
      </c>
      <c r="L60" s="80" t="str">
        <f t="shared" si="21"/>
        <v/>
      </c>
      <c r="M60" s="81" t="str">
        <f>IFERROR(IF(L60=LOOKUP(K60,Spez_Tg,Festtage),"",IF(L60&lt;&gt;"",MAX(M$41:M59)+L60,"")),"")</f>
        <v/>
      </c>
      <c r="N60" s="120">
        <f t="shared" si="22"/>
        <v>45615</v>
      </c>
      <c r="O60" s="80">
        <f t="shared" si="23"/>
        <v>8.4</v>
      </c>
      <c r="P60" s="81">
        <f>IFERROR(IF(O60=LOOKUP(N60,Spez_Tg,Festtage),"",IF(O60&lt;&gt;"",MAX(P$41:P59)+O60,"")),"")</f>
        <v>100.80000000000003</v>
      </c>
      <c r="Q60" s="120">
        <f t="shared" si="24"/>
        <v>45645</v>
      </c>
      <c r="R60" s="80">
        <f t="shared" si="25"/>
        <v>8.4</v>
      </c>
      <c r="S60" s="81">
        <f>IFERROR(IF(R60=LOOKUP(Q60,Spez_Tg,Festtage),"",IF(R60&lt;&gt;"",MAX(S$41:S59)+R60,"")),"")</f>
        <v>117.60000000000004</v>
      </c>
      <c r="T60" s="78">
        <v>19</v>
      </c>
    </row>
    <row r="61" spans="1:20" x14ac:dyDescent="0.25">
      <c r="A61" s="83">
        <v>20</v>
      </c>
      <c r="B61" s="141">
        <f t="shared" si="14"/>
        <v>45493</v>
      </c>
      <c r="C61" s="85" t="str">
        <f t="shared" si="15"/>
        <v/>
      </c>
      <c r="D61" s="86" t="str">
        <f>IFERROR(IF(C61=LOOKUP(B61,Spez_Tg,Festtage),"",IF(C61&lt;&gt;"",MAX(D$41:D60)+C61,"")),"")</f>
        <v/>
      </c>
      <c r="E61" s="141">
        <f t="shared" si="16"/>
        <v>45524</v>
      </c>
      <c r="F61" s="85">
        <f t="shared" si="17"/>
        <v>8.4</v>
      </c>
      <c r="G61" s="86">
        <f>IFERROR(IF(F61=LOOKUP(E61,Spez_Tg,Festtage),"",IF(F61&lt;&gt;"",MAX(G$41:G60)+F61,"")),"")</f>
        <v>109.20000000000003</v>
      </c>
      <c r="H61" s="141">
        <f t="shared" si="18"/>
        <v>45555</v>
      </c>
      <c r="I61" s="85">
        <f t="shared" si="19"/>
        <v>8.4</v>
      </c>
      <c r="J61" s="86">
        <f>IFERROR(IF(I61=LOOKUP(H61,Spez_Tg,Festtage),"",IF(I61&lt;&gt;"",MAX(J$41:J60)+I61,"")),"")</f>
        <v>126.00000000000004</v>
      </c>
      <c r="K61" s="141">
        <f t="shared" si="20"/>
        <v>45585</v>
      </c>
      <c r="L61" s="85" t="str">
        <f t="shared" si="21"/>
        <v/>
      </c>
      <c r="M61" s="86" t="str">
        <f>IFERROR(IF(L61=LOOKUP(K61,Spez_Tg,Festtage),"",IF(L61&lt;&gt;"",MAX(M$41:M60)+L61,"")),"")</f>
        <v/>
      </c>
      <c r="N61" s="141">
        <f t="shared" si="22"/>
        <v>45616</v>
      </c>
      <c r="O61" s="85">
        <f t="shared" si="23"/>
        <v>8.4</v>
      </c>
      <c r="P61" s="86">
        <f>IFERROR(IF(O61=LOOKUP(N61,Spez_Tg,Festtage),"",IF(O61&lt;&gt;"",MAX(P$41:P60)+O61,"")),"")</f>
        <v>109.20000000000003</v>
      </c>
      <c r="Q61" s="141">
        <f t="shared" si="24"/>
        <v>45646</v>
      </c>
      <c r="R61" s="85">
        <f t="shared" si="25"/>
        <v>8.4</v>
      </c>
      <c r="S61" s="86">
        <f>IFERROR(IF(R61=LOOKUP(Q61,Spez_Tg,Festtage),"",IF(R61&lt;&gt;"",MAX(S$41:S60)+R61,"")),"")</f>
        <v>126.00000000000004</v>
      </c>
      <c r="T61" s="87">
        <v>20</v>
      </c>
    </row>
    <row r="62" spans="1:20" x14ac:dyDescent="0.25">
      <c r="A62" s="76">
        <v>21</v>
      </c>
      <c r="B62" s="120">
        <f t="shared" si="14"/>
        <v>45494</v>
      </c>
      <c r="C62" s="80" t="str">
        <f t="shared" si="15"/>
        <v/>
      </c>
      <c r="D62" s="81" t="str">
        <f>IFERROR(IF(C62=LOOKUP(B62,Spez_Tg,Festtage),"",IF(C62&lt;&gt;"",MAX(D$41:D61)+C62,"")),"")</f>
        <v/>
      </c>
      <c r="E62" s="120">
        <f t="shared" si="16"/>
        <v>45525</v>
      </c>
      <c r="F62" s="80">
        <f t="shared" si="17"/>
        <v>8.4</v>
      </c>
      <c r="G62" s="81">
        <f>IFERROR(IF(F62=LOOKUP(E62,Spez_Tg,Festtage),"",IF(F62&lt;&gt;"",MAX(G$41:G61)+F62,"")),"")</f>
        <v>117.60000000000004</v>
      </c>
      <c r="H62" s="120">
        <f t="shared" si="18"/>
        <v>45556</v>
      </c>
      <c r="I62" s="80" t="str">
        <f t="shared" si="19"/>
        <v/>
      </c>
      <c r="J62" s="81" t="str">
        <f>IFERROR(IF(I62=LOOKUP(H62,Spez_Tg,Festtage),"",IF(I62&lt;&gt;"",MAX(J$41:J61)+I62,"")),"")</f>
        <v/>
      </c>
      <c r="K62" s="120">
        <f t="shared" si="20"/>
        <v>45586</v>
      </c>
      <c r="L62" s="80">
        <f t="shared" si="21"/>
        <v>8.4</v>
      </c>
      <c r="M62" s="81">
        <f>IFERROR(IF(L62=LOOKUP(K62,Spez_Tg,Festtage),"",IF(L62&lt;&gt;"",MAX(M$41:M61)+L62,"")),"")</f>
        <v>126.00000000000004</v>
      </c>
      <c r="N62" s="120">
        <f t="shared" si="22"/>
        <v>45617</v>
      </c>
      <c r="O62" s="80">
        <f t="shared" si="23"/>
        <v>8.4</v>
      </c>
      <c r="P62" s="81">
        <f>IFERROR(IF(O62=LOOKUP(N62,Spez_Tg,Festtage),"",IF(O62&lt;&gt;"",MAX(P$41:P61)+O62,"")),"")</f>
        <v>117.60000000000004</v>
      </c>
      <c r="Q62" s="120">
        <f t="shared" si="24"/>
        <v>45647</v>
      </c>
      <c r="R62" s="80" t="str">
        <f t="shared" si="25"/>
        <v/>
      </c>
      <c r="S62" s="81" t="str">
        <f>IFERROR(IF(R62=LOOKUP(Q62,Spez_Tg,Festtage),"",IF(R62&lt;&gt;"",MAX(S$41:S61)+R62,"")),"")</f>
        <v/>
      </c>
      <c r="T62" s="78">
        <v>21</v>
      </c>
    </row>
    <row r="63" spans="1:20" x14ac:dyDescent="0.25">
      <c r="A63" s="83">
        <v>22</v>
      </c>
      <c r="B63" s="141">
        <f t="shared" si="14"/>
        <v>45495</v>
      </c>
      <c r="C63" s="85">
        <f t="shared" si="15"/>
        <v>8.4</v>
      </c>
      <c r="D63" s="86">
        <f>IFERROR(IF(C63=LOOKUP(B63,Spez_Tg,Festtage),"",IF(C63&lt;&gt;"",MAX(D$41:D62)+C63,"")),"")</f>
        <v>134.40000000000003</v>
      </c>
      <c r="E63" s="141">
        <f t="shared" si="16"/>
        <v>45526</v>
      </c>
      <c r="F63" s="85">
        <f t="shared" si="17"/>
        <v>8.4</v>
      </c>
      <c r="G63" s="86">
        <f>IFERROR(IF(F63=LOOKUP(E63,Spez_Tg,Festtage),"",IF(F63&lt;&gt;"",MAX(G$41:G62)+F63,"")),"")</f>
        <v>126.00000000000004</v>
      </c>
      <c r="H63" s="141">
        <f t="shared" si="18"/>
        <v>45557</v>
      </c>
      <c r="I63" s="85" t="str">
        <f t="shared" si="19"/>
        <v/>
      </c>
      <c r="J63" s="86" t="str">
        <f>IFERROR(IF(I63=LOOKUP(H63,Spez_Tg,Festtage),"",IF(I63&lt;&gt;"",MAX(J$41:J62)+I63,"")),"")</f>
        <v/>
      </c>
      <c r="K63" s="141">
        <f t="shared" si="20"/>
        <v>45587</v>
      </c>
      <c r="L63" s="85">
        <f t="shared" si="21"/>
        <v>8.4</v>
      </c>
      <c r="M63" s="86">
        <f>IFERROR(IF(L63=LOOKUP(K63,Spez_Tg,Festtage),"",IF(L63&lt;&gt;"",MAX(M$41:M62)+L63,"")),"")</f>
        <v>134.40000000000003</v>
      </c>
      <c r="N63" s="141">
        <f t="shared" si="22"/>
        <v>45618</v>
      </c>
      <c r="O63" s="85">
        <f t="shared" si="23"/>
        <v>8.4</v>
      </c>
      <c r="P63" s="86">
        <f>IFERROR(IF(O63=LOOKUP(N63,Spez_Tg,Festtage),"",IF(O63&lt;&gt;"",MAX(P$41:P62)+O63,"")),"")</f>
        <v>126.00000000000004</v>
      </c>
      <c r="Q63" s="141">
        <f t="shared" si="24"/>
        <v>45648</v>
      </c>
      <c r="R63" s="85" t="str">
        <f t="shared" si="25"/>
        <v/>
      </c>
      <c r="S63" s="86" t="str">
        <f>IFERROR(IF(R63=LOOKUP(Q63,Spez_Tg,Festtage),"",IF(R63&lt;&gt;"",MAX(S$41:S62)+R63,"")),"")</f>
        <v/>
      </c>
      <c r="T63" s="87">
        <v>22</v>
      </c>
    </row>
    <row r="64" spans="1:20" x14ac:dyDescent="0.25">
      <c r="A64" s="76">
        <v>23</v>
      </c>
      <c r="B64" s="120">
        <f t="shared" si="14"/>
        <v>45496</v>
      </c>
      <c r="C64" s="80">
        <f t="shared" si="15"/>
        <v>8.4</v>
      </c>
      <c r="D64" s="81">
        <f>IFERROR(IF(C64=LOOKUP(B64,Spez_Tg,Festtage),"",IF(C64&lt;&gt;"",MAX(D$41:D63)+C64,"")),"")</f>
        <v>142.80000000000004</v>
      </c>
      <c r="E64" s="120">
        <f t="shared" si="16"/>
        <v>45527</v>
      </c>
      <c r="F64" s="80">
        <f t="shared" si="17"/>
        <v>8.4</v>
      </c>
      <c r="G64" s="81">
        <f>IFERROR(IF(F64=LOOKUP(E64,Spez_Tg,Festtage),"",IF(F64&lt;&gt;"",MAX(G$41:G63)+F64,"")),"")</f>
        <v>134.40000000000003</v>
      </c>
      <c r="H64" s="120">
        <f t="shared" si="18"/>
        <v>45558</v>
      </c>
      <c r="I64" s="80">
        <f t="shared" si="19"/>
        <v>8.4</v>
      </c>
      <c r="J64" s="81">
        <f>IFERROR(IF(I64=LOOKUP(H64,Spez_Tg,Festtage),"",IF(I64&lt;&gt;"",MAX(J$41:J63)+I64,"")),"")</f>
        <v>134.40000000000003</v>
      </c>
      <c r="K64" s="120">
        <f t="shared" si="20"/>
        <v>45588</v>
      </c>
      <c r="L64" s="80">
        <f t="shared" si="21"/>
        <v>8.4</v>
      </c>
      <c r="M64" s="81">
        <f>IFERROR(IF(L64=LOOKUP(K64,Spez_Tg,Festtage),"",IF(L64&lt;&gt;"",MAX(M$41:M63)+L64,"")),"")</f>
        <v>142.80000000000004</v>
      </c>
      <c r="N64" s="120">
        <f t="shared" si="22"/>
        <v>45619</v>
      </c>
      <c r="O64" s="80" t="str">
        <f t="shared" si="23"/>
        <v/>
      </c>
      <c r="P64" s="81" t="str">
        <f>IFERROR(IF(O64=LOOKUP(N64,Spez_Tg,Festtage),"",IF(O64&lt;&gt;"",MAX(P$41:P63)+O64,"")),"")</f>
        <v/>
      </c>
      <c r="Q64" s="120">
        <f t="shared" si="24"/>
        <v>45649</v>
      </c>
      <c r="R64" s="80">
        <f t="shared" si="25"/>
        <v>8.4</v>
      </c>
      <c r="S64" s="81">
        <f>IFERROR(IF(R64=LOOKUP(Q64,Spez_Tg,Festtage),"",IF(R64&lt;&gt;"",MAX(S$41:S63)+R64,"")),"")</f>
        <v>134.40000000000003</v>
      </c>
      <c r="T64" s="78">
        <v>23</v>
      </c>
    </row>
    <row r="65" spans="1:22" x14ac:dyDescent="0.25">
      <c r="A65" s="83">
        <v>24</v>
      </c>
      <c r="B65" s="141">
        <f t="shared" si="14"/>
        <v>45497</v>
      </c>
      <c r="C65" s="85">
        <f t="shared" si="15"/>
        <v>8.4</v>
      </c>
      <c r="D65" s="86">
        <f>IFERROR(IF(C65=LOOKUP(B65,Spez_Tg,Festtage),"",IF(C65&lt;&gt;"",MAX(D$41:D64)+C65,"")),"")</f>
        <v>151.20000000000005</v>
      </c>
      <c r="E65" s="141">
        <f t="shared" si="16"/>
        <v>45528</v>
      </c>
      <c r="F65" s="85" t="str">
        <f t="shared" si="17"/>
        <v/>
      </c>
      <c r="G65" s="86" t="str">
        <f>IFERROR(IF(F65=LOOKUP(E65,Spez_Tg,Festtage),"",IF(F65&lt;&gt;"",MAX(G$41:G64)+F65,"")),"")</f>
        <v/>
      </c>
      <c r="H65" s="141">
        <f t="shared" si="18"/>
        <v>45559</v>
      </c>
      <c r="I65" s="85">
        <f t="shared" si="19"/>
        <v>8.4</v>
      </c>
      <c r="J65" s="86">
        <f>IFERROR(IF(I65=LOOKUP(H65,Spez_Tg,Festtage),"",IF(I65&lt;&gt;"",MAX(J$41:J64)+I65,"")),"")</f>
        <v>142.80000000000004</v>
      </c>
      <c r="K65" s="141">
        <f t="shared" si="20"/>
        <v>45589</v>
      </c>
      <c r="L65" s="85">
        <f t="shared" si="21"/>
        <v>8.4</v>
      </c>
      <c r="M65" s="86">
        <f>IFERROR(IF(L65=LOOKUP(K65,Spez_Tg,Festtage),"",IF(L65&lt;&gt;"",MAX(M$41:M64)+L65,"")),"")</f>
        <v>151.20000000000005</v>
      </c>
      <c r="N65" s="141">
        <f t="shared" si="22"/>
        <v>45620</v>
      </c>
      <c r="O65" s="85" t="str">
        <f t="shared" si="23"/>
        <v/>
      </c>
      <c r="P65" s="86" t="str">
        <f>IFERROR(IF(O65=LOOKUP(N65,Spez_Tg,Festtage),"",IF(O65&lt;&gt;"",MAX(P$41:P64)+O65,"")),"")</f>
        <v/>
      </c>
      <c r="Q65" s="141">
        <f t="shared" si="24"/>
        <v>45650</v>
      </c>
      <c r="R65" s="85">
        <f t="shared" si="25"/>
        <v>4.2</v>
      </c>
      <c r="S65" s="86">
        <f>IFERROR(IF(R65=LOOKUP(Q65,Spez_Tg,Festtage),"",IF(R65&lt;&gt;"",MAX(S$41:S64)+R65,"")),"")</f>
        <v>138.60000000000002</v>
      </c>
      <c r="T65" s="87">
        <v>24</v>
      </c>
    </row>
    <row r="66" spans="1:22" x14ac:dyDescent="0.25">
      <c r="A66" s="76">
        <v>25</v>
      </c>
      <c r="B66" s="120">
        <f t="shared" si="14"/>
        <v>45498</v>
      </c>
      <c r="C66" s="80">
        <f t="shared" si="15"/>
        <v>8.4</v>
      </c>
      <c r="D66" s="81">
        <f>IFERROR(IF(C66=LOOKUP(B66,Spez_Tg,Festtage),"",IF(C66&lt;&gt;"",MAX(D$41:D65)+C66,"")),"")</f>
        <v>159.60000000000005</v>
      </c>
      <c r="E66" s="120">
        <f t="shared" si="16"/>
        <v>45529</v>
      </c>
      <c r="F66" s="80" t="str">
        <f t="shared" si="17"/>
        <v/>
      </c>
      <c r="G66" s="81" t="str">
        <f>IFERROR(IF(F66=LOOKUP(E66,Spez_Tg,Festtage),"",IF(F66&lt;&gt;"",MAX(G$41:G65)+F66,"")),"")</f>
        <v/>
      </c>
      <c r="H66" s="120">
        <f t="shared" si="18"/>
        <v>45560</v>
      </c>
      <c r="I66" s="80">
        <f t="shared" si="19"/>
        <v>8.4</v>
      </c>
      <c r="J66" s="81">
        <f>IFERROR(IF(I66=LOOKUP(H66,Spez_Tg,Festtage),"",IF(I66&lt;&gt;"",MAX(J$41:J65)+I66,"")),"")</f>
        <v>151.20000000000005</v>
      </c>
      <c r="K66" s="120">
        <f t="shared" si="20"/>
        <v>45590</v>
      </c>
      <c r="L66" s="80">
        <f t="shared" si="21"/>
        <v>8.4</v>
      </c>
      <c r="M66" s="81">
        <f>IFERROR(IF(L66=LOOKUP(K66,Spez_Tg,Festtage),"",IF(L66&lt;&gt;"",MAX(M$41:M65)+L66,"")),"")</f>
        <v>159.60000000000005</v>
      </c>
      <c r="N66" s="120">
        <f t="shared" si="22"/>
        <v>45621</v>
      </c>
      <c r="O66" s="80">
        <f t="shared" si="23"/>
        <v>8.4</v>
      </c>
      <c r="P66" s="81">
        <f>IFERROR(IF(O66=LOOKUP(N66,Spez_Tg,Festtage),"",IF(O66&lt;&gt;"",MAX(P$41:P65)+O66,"")),"")</f>
        <v>134.40000000000003</v>
      </c>
      <c r="Q66" s="120">
        <f t="shared" si="24"/>
        <v>45651</v>
      </c>
      <c r="R66" s="80" t="str">
        <f t="shared" si="25"/>
        <v>Weihnachtst.</v>
      </c>
      <c r="S66" s="81" t="str">
        <f>IFERROR(IF(R66=LOOKUP(Q66,Spez_Tg,Festtage),"",IF(R66&lt;&gt;"",MAX(S$41:S65)+R66,"")),"")</f>
        <v/>
      </c>
      <c r="T66" s="78">
        <v>25</v>
      </c>
    </row>
    <row r="67" spans="1:22" x14ac:dyDescent="0.25">
      <c r="A67" s="83">
        <v>26</v>
      </c>
      <c r="B67" s="141">
        <f t="shared" si="14"/>
        <v>45499</v>
      </c>
      <c r="C67" s="85">
        <f t="shared" si="15"/>
        <v>8.4</v>
      </c>
      <c r="D67" s="86">
        <f>IFERROR(IF(C67=LOOKUP(B67,Spez_Tg,Festtage),"",IF(C67&lt;&gt;"",MAX(D$41:D66)+C67,"")),"")</f>
        <v>168.00000000000006</v>
      </c>
      <c r="E67" s="141">
        <f t="shared" si="16"/>
        <v>45530</v>
      </c>
      <c r="F67" s="85">
        <f t="shared" si="17"/>
        <v>8.4</v>
      </c>
      <c r="G67" s="86">
        <f>IFERROR(IF(F67=LOOKUP(E67,Spez_Tg,Festtage),"",IF(F67&lt;&gt;"",MAX(G$41:G66)+F67,"")),"")</f>
        <v>142.80000000000004</v>
      </c>
      <c r="H67" s="141">
        <f t="shared" si="18"/>
        <v>45561</v>
      </c>
      <c r="I67" s="85">
        <f t="shared" si="19"/>
        <v>8.4</v>
      </c>
      <c r="J67" s="86">
        <f>IFERROR(IF(I67=LOOKUP(H67,Spez_Tg,Festtage),"",IF(I67&lt;&gt;"",MAX(J$41:J66)+I67,"")),"")</f>
        <v>159.60000000000005</v>
      </c>
      <c r="K67" s="141">
        <f t="shared" si="20"/>
        <v>45591</v>
      </c>
      <c r="L67" s="85" t="str">
        <f t="shared" si="21"/>
        <v/>
      </c>
      <c r="M67" s="86" t="str">
        <f>IFERROR(IF(L67=LOOKUP(K67,Spez_Tg,Festtage),"",IF(L67&lt;&gt;"",MAX(M$41:M66)+L67,"")),"")</f>
        <v/>
      </c>
      <c r="N67" s="141">
        <f t="shared" si="22"/>
        <v>45622</v>
      </c>
      <c r="O67" s="85">
        <f t="shared" si="23"/>
        <v>8.4</v>
      </c>
      <c r="P67" s="86">
        <f>IFERROR(IF(O67=LOOKUP(N67,Spez_Tg,Festtage),"",IF(O67&lt;&gt;"",MAX(P$41:P66)+O67,"")),"")</f>
        <v>142.80000000000004</v>
      </c>
      <c r="Q67" s="141">
        <f t="shared" si="24"/>
        <v>45652</v>
      </c>
      <c r="R67" s="85" t="str">
        <f t="shared" si="25"/>
        <v>Stephanstag</v>
      </c>
      <c r="S67" s="86" t="str">
        <f>IFERROR(IF(R67=LOOKUP(Q67,Spez_Tg,Festtage),"",IF(R67&lt;&gt;"",MAX(S$41:S66)+R67,"")),"")</f>
        <v/>
      </c>
      <c r="T67" s="87">
        <v>26</v>
      </c>
    </row>
    <row r="68" spans="1:22" x14ac:dyDescent="0.25">
      <c r="A68" s="76">
        <v>27</v>
      </c>
      <c r="B68" s="120">
        <f t="shared" si="14"/>
        <v>45500</v>
      </c>
      <c r="C68" s="80" t="str">
        <f t="shared" si="15"/>
        <v/>
      </c>
      <c r="D68" s="81" t="str">
        <f>IFERROR(IF(C68=LOOKUP(B68,Spez_Tg,Festtage),"",IF(C68&lt;&gt;"",MAX(D$41:D67)+C68,"")),"")</f>
        <v/>
      </c>
      <c r="E68" s="120">
        <f t="shared" si="16"/>
        <v>45531</v>
      </c>
      <c r="F68" s="80">
        <f t="shared" si="17"/>
        <v>8.4</v>
      </c>
      <c r="G68" s="81">
        <f>IFERROR(IF(F68=LOOKUP(E68,Spez_Tg,Festtage),"",IF(F68&lt;&gt;"",MAX(G$41:G67)+F68,"")),"")</f>
        <v>151.20000000000005</v>
      </c>
      <c r="H68" s="120">
        <f t="shared" si="18"/>
        <v>45562</v>
      </c>
      <c r="I68" s="80">
        <f t="shared" si="19"/>
        <v>8.4</v>
      </c>
      <c r="J68" s="81">
        <f>IFERROR(IF(I68=LOOKUP(H68,Spez_Tg,Festtage),"",IF(I68&lt;&gt;"",MAX(J$41:J67)+I68,"")),"")</f>
        <v>168.00000000000006</v>
      </c>
      <c r="K68" s="120">
        <f t="shared" si="20"/>
        <v>45592</v>
      </c>
      <c r="L68" s="80" t="str">
        <f t="shared" si="21"/>
        <v/>
      </c>
      <c r="M68" s="81" t="str">
        <f>IFERROR(IF(L68=LOOKUP(K68,Spez_Tg,Festtage),"",IF(L68&lt;&gt;"",MAX(M$41:M67)+L68,"")),"")</f>
        <v/>
      </c>
      <c r="N68" s="120">
        <f t="shared" si="22"/>
        <v>45623</v>
      </c>
      <c r="O68" s="80">
        <f t="shared" si="23"/>
        <v>8.4</v>
      </c>
      <c r="P68" s="81">
        <f>IFERROR(IF(O68=LOOKUP(N68,Spez_Tg,Festtage),"",IF(O68&lt;&gt;"",MAX(P$41:P67)+O68,"")),"")</f>
        <v>151.20000000000005</v>
      </c>
      <c r="Q68" s="120">
        <f t="shared" si="24"/>
        <v>45653</v>
      </c>
      <c r="R68" s="80" t="str">
        <f t="shared" si="25"/>
        <v>Art. 60 Abs. 1 PersV</v>
      </c>
      <c r="S68" s="81" t="str">
        <f>IFERROR(IF(R68=LOOKUP(Q68,Spez_Tg,Festtage),"",IF(R68&lt;&gt;"",MAX(S$41:S67)+R68,"")),"")</f>
        <v/>
      </c>
      <c r="T68" s="78">
        <v>27</v>
      </c>
      <c r="V68" s="142"/>
    </row>
    <row r="69" spans="1:22" x14ac:dyDescent="0.25">
      <c r="A69" s="83">
        <v>28</v>
      </c>
      <c r="B69" s="141">
        <f t="shared" si="14"/>
        <v>45501</v>
      </c>
      <c r="C69" s="85" t="str">
        <f t="shared" si="15"/>
        <v/>
      </c>
      <c r="D69" s="86" t="str">
        <f>IFERROR(IF(C69=LOOKUP(B69,Spez_Tg,Festtage),"",IF(C69&lt;&gt;"",MAX(D$41:D68)+C69,"")),"")</f>
        <v/>
      </c>
      <c r="E69" s="141">
        <f t="shared" si="16"/>
        <v>45532</v>
      </c>
      <c r="F69" s="85">
        <f t="shared" si="17"/>
        <v>8.4</v>
      </c>
      <c r="G69" s="86">
        <f>IFERROR(IF(F69=LOOKUP(E69,Spez_Tg,Festtage),"",IF(F69&lt;&gt;"",MAX(G$41:G68)+F69,"")),"")</f>
        <v>159.60000000000005</v>
      </c>
      <c r="H69" s="141">
        <f t="shared" si="18"/>
        <v>45563</v>
      </c>
      <c r="I69" s="85" t="str">
        <f t="shared" si="19"/>
        <v/>
      </c>
      <c r="J69" s="86" t="str">
        <f>IFERROR(IF(I69=LOOKUP(H69,Spez_Tg,Festtage),"",IF(I69&lt;&gt;"",MAX(J$41:J68)+I69,"")),"")</f>
        <v/>
      </c>
      <c r="K69" s="141">
        <f t="shared" si="20"/>
        <v>45593</v>
      </c>
      <c r="L69" s="85">
        <f t="shared" si="21"/>
        <v>8.4</v>
      </c>
      <c r="M69" s="86">
        <f>IFERROR(IF(L69=LOOKUP(K69,Spez_Tg,Festtage),"",IF(L69&lt;&gt;"",MAX(M$41:M68)+L69,"")),"")</f>
        <v>168.00000000000006</v>
      </c>
      <c r="N69" s="141">
        <f t="shared" si="22"/>
        <v>45624</v>
      </c>
      <c r="O69" s="85">
        <f t="shared" si="23"/>
        <v>8.4</v>
      </c>
      <c r="P69" s="86">
        <f>IFERROR(IF(O69=LOOKUP(N69,Spez_Tg,Festtage),"",IF(O69&lt;&gt;"",MAX(P$41:P68)+O69,"")),"")</f>
        <v>159.60000000000005</v>
      </c>
      <c r="Q69" s="141">
        <f t="shared" si="24"/>
        <v>45654</v>
      </c>
      <c r="R69" s="85" t="str">
        <f t="shared" si="25"/>
        <v/>
      </c>
      <c r="S69" s="86" t="str">
        <f>IFERROR(IF(R69=LOOKUP(Q69,Spez_Tg,Festtage),"",IF(R69&lt;&gt;"",MAX(S$41:S68)+R69,"")),"")</f>
        <v/>
      </c>
      <c r="T69" s="87">
        <v>28</v>
      </c>
    </row>
    <row r="70" spans="1:22" x14ac:dyDescent="0.25">
      <c r="A70" s="76">
        <v>29</v>
      </c>
      <c r="B70" s="120">
        <f t="shared" si="14"/>
        <v>45502</v>
      </c>
      <c r="C70" s="80">
        <f t="shared" si="15"/>
        <v>8.4</v>
      </c>
      <c r="D70" s="81">
        <f>IFERROR(IF(C70=LOOKUP(B70,Spez_Tg,Festtage),"",IF(C70&lt;&gt;"",MAX(D$41:D69)+C70,"")),"")</f>
        <v>176.40000000000006</v>
      </c>
      <c r="E70" s="120">
        <f t="shared" si="16"/>
        <v>45533</v>
      </c>
      <c r="F70" s="80">
        <f t="shared" si="17"/>
        <v>8.4</v>
      </c>
      <c r="G70" s="81">
        <f>IFERROR(IF(F70=LOOKUP(E70,Spez_Tg,Festtage),"",IF(F70&lt;&gt;"",MAX(G$41:G69)+F70,"")),"")</f>
        <v>168.00000000000006</v>
      </c>
      <c r="H70" s="120">
        <f t="shared" si="18"/>
        <v>45564</v>
      </c>
      <c r="I70" s="80" t="str">
        <f t="shared" si="19"/>
        <v/>
      </c>
      <c r="J70" s="81" t="str">
        <f>IFERROR(IF(I70=LOOKUP(H70,Spez_Tg,Festtage),"",IF(I70&lt;&gt;"",MAX(J$41:J69)+I70,"")),"")</f>
        <v/>
      </c>
      <c r="K70" s="120">
        <f t="shared" si="20"/>
        <v>45594</v>
      </c>
      <c r="L70" s="80">
        <f t="shared" si="21"/>
        <v>8.4</v>
      </c>
      <c r="M70" s="81">
        <f>IFERROR(IF(L70=LOOKUP(K70,Spez_Tg,Festtage),"",IF(L70&lt;&gt;"",MAX(M$41:M69)+L70,"")),"")</f>
        <v>176.40000000000006</v>
      </c>
      <c r="N70" s="120">
        <f t="shared" si="22"/>
        <v>45625</v>
      </c>
      <c r="O70" s="80">
        <f t="shared" si="23"/>
        <v>8.4</v>
      </c>
      <c r="P70" s="81">
        <f>IFERROR(IF(O70=LOOKUP(N70,Spez_Tg,Festtage),"",IF(O70&lt;&gt;"",MAX(P$41:P69)+O70,"")),"")</f>
        <v>168.00000000000006</v>
      </c>
      <c r="Q70" s="120">
        <f t="shared" si="24"/>
        <v>45655</v>
      </c>
      <c r="R70" s="80" t="str">
        <f t="shared" si="25"/>
        <v/>
      </c>
      <c r="S70" s="81" t="str">
        <f>IFERROR(IF(R70=LOOKUP(Q70,Spez_Tg,Festtage),"",IF(R70&lt;&gt;"",MAX(S$41:S69)+R70,"")),"")</f>
        <v/>
      </c>
      <c r="T70" s="78">
        <v>29</v>
      </c>
    </row>
    <row r="71" spans="1:22" x14ac:dyDescent="0.25">
      <c r="A71" s="83">
        <v>30</v>
      </c>
      <c r="B71" s="141">
        <f t="shared" si="14"/>
        <v>45503</v>
      </c>
      <c r="C71" s="85">
        <f t="shared" si="15"/>
        <v>8.4</v>
      </c>
      <c r="D71" s="86">
        <f>IFERROR(IF(C71=LOOKUP(B71,Spez_Tg,Festtage),"",IF(C71&lt;&gt;"",MAX(D$41:D70)+C71,"")),"")</f>
        <v>184.80000000000007</v>
      </c>
      <c r="E71" s="141">
        <f t="shared" si="16"/>
        <v>45534</v>
      </c>
      <c r="F71" s="85">
        <f t="shared" si="17"/>
        <v>8.4</v>
      </c>
      <c r="G71" s="86">
        <f>IFERROR(IF(F71=LOOKUP(E71,Spez_Tg,Festtage),"",IF(F71&lt;&gt;"",MAX(G$41:G70)+F71,"")),"")</f>
        <v>176.40000000000006</v>
      </c>
      <c r="H71" s="141">
        <f t="shared" si="18"/>
        <v>45565</v>
      </c>
      <c r="I71" s="85">
        <f t="shared" si="19"/>
        <v>8.4</v>
      </c>
      <c r="J71" s="86">
        <f>IFERROR(IF(I71=LOOKUP(H71,Spez_Tg,Festtage),"",IF(I71&lt;&gt;"",MAX(J$41:J70)+I71,"")),"")</f>
        <v>176.40000000000006</v>
      </c>
      <c r="K71" s="141">
        <f t="shared" si="20"/>
        <v>45595</v>
      </c>
      <c r="L71" s="85">
        <f t="shared" si="21"/>
        <v>8.4</v>
      </c>
      <c r="M71" s="86">
        <f>IFERROR(IF(L71=LOOKUP(K71,Spez_Tg,Festtage),"",IF(L71&lt;&gt;"",MAX(M$41:M70)+L71,"")),"")</f>
        <v>184.80000000000007</v>
      </c>
      <c r="N71" s="141">
        <f t="shared" si="22"/>
        <v>45626</v>
      </c>
      <c r="O71" s="85" t="str">
        <f t="shared" si="23"/>
        <v/>
      </c>
      <c r="P71" s="86" t="str">
        <f>IFERROR(IF(O71=LOOKUP(N71,Spez_Tg,Festtage),"",IF(O71&lt;&gt;"",MAX(P$41:P70)+O71,"")),"")</f>
        <v/>
      </c>
      <c r="Q71" s="141">
        <f t="shared" si="24"/>
        <v>45656</v>
      </c>
      <c r="R71" s="85">
        <f t="shared" si="25"/>
        <v>8.4</v>
      </c>
      <c r="S71" s="86">
        <f>IFERROR(IF(R71=LOOKUP(Q71,Spez_Tg,Festtage),"",IF(R71&lt;&gt;"",MAX(S$41:S70)+R71,"")),"")</f>
        <v>147.00000000000003</v>
      </c>
      <c r="T71" s="87">
        <v>30</v>
      </c>
    </row>
    <row r="72" spans="1:22" x14ac:dyDescent="0.25">
      <c r="A72" s="76">
        <v>31</v>
      </c>
      <c r="B72" s="120">
        <f t="shared" si="14"/>
        <v>45504</v>
      </c>
      <c r="C72" s="95">
        <f t="shared" si="15"/>
        <v>8.4</v>
      </c>
      <c r="D72" s="81">
        <f>IFERROR(IF(C72=LOOKUP(B72,Spez_Tg,Festtage),"",IF(C72&lt;&gt;"",MAX(D$41:D71)+C72,"")),"")</f>
        <v>193.20000000000007</v>
      </c>
      <c r="E72" s="120">
        <f t="shared" si="16"/>
        <v>45535</v>
      </c>
      <c r="F72" s="95" t="str">
        <f t="shared" si="17"/>
        <v/>
      </c>
      <c r="G72" s="81" t="str">
        <f>IFERROR(IF(F72=LOOKUP(E72,Spez_Tg,Festtage),"",IF(F72&lt;&gt;"",MAX(G$41:G71)+F72,"")),"")</f>
        <v/>
      </c>
      <c r="H72" s="120" t="str">
        <f t="shared" si="18"/>
        <v/>
      </c>
      <c r="I72" s="95" t="str">
        <f t="shared" si="19"/>
        <v/>
      </c>
      <c r="J72" s="81" t="str">
        <f>IFERROR(IF(I72=LOOKUP(H72,Spez_Tg,Festtage),"",IF(I72&lt;&gt;"",MAX(J$41:J71)+I72,"")),"")</f>
        <v/>
      </c>
      <c r="K72" s="120">
        <f t="shared" si="20"/>
        <v>45596</v>
      </c>
      <c r="L72" s="95">
        <f t="shared" si="21"/>
        <v>8.4</v>
      </c>
      <c r="M72" s="81">
        <f>IFERROR(IF(L72=LOOKUP(K72,Spez_Tg,Festtage),"",IF(L72&lt;&gt;"",MAX(M$41:M71)+L72,"")),"")</f>
        <v>193.20000000000007</v>
      </c>
      <c r="N72" s="120" t="str">
        <f t="shared" si="22"/>
        <v/>
      </c>
      <c r="O72" s="95" t="str">
        <f t="shared" si="23"/>
        <v/>
      </c>
      <c r="P72" s="81" t="str">
        <f>IFERROR(IF(O72=LOOKUP(N72,Spez_Tg,Festtage),"",IF(O72&lt;&gt;"",MAX(P$41:P71)+O72,"")),"")</f>
        <v/>
      </c>
      <c r="Q72" s="120">
        <f t="shared" si="24"/>
        <v>45657</v>
      </c>
      <c r="R72" s="95">
        <f t="shared" si="25"/>
        <v>4.2</v>
      </c>
      <c r="S72" s="81">
        <f>IFERROR(IF(R72=LOOKUP(Q72,Spez_Tg,Festtage),"",IF(R72&lt;&gt;"",MAX(S$41:S71)+R72,"")),"")</f>
        <v>151.20000000000002</v>
      </c>
      <c r="T72" s="78">
        <v>31</v>
      </c>
    </row>
    <row r="73" spans="1:22" x14ac:dyDescent="0.25">
      <c r="A73" s="122"/>
      <c r="B73" s="123" t="s">
        <v>25</v>
      </c>
      <c r="C73" s="124"/>
      <c r="D73" s="125">
        <f>SUM(C42:C72)</f>
        <v>193.20000000000007</v>
      </c>
      <c r="E73" s="143" t="s">
        <v>24</v>
      </c>
      <c r="F73" s="128"/>
      <c r="G73" s="125">
        <f>SUM(F42:F72)</f>
        <v>176.40000000000006</v>
      </c>
      <c r="H73" s="144"/>
      <c r="I73" s="124"/>
      <c r="J73" s="125">
        <f>SUM(I42:I72)</f>
        <v>176.40000000000006</v>
      </c>
      <c r="K73" s="144"/>
      <c r="L73" s="124"/>
      <c r="M73" s="125">
        <f>SUM(L42:L72)</f>
        <v>193.20000000000007</v>
      </c>
      <c r="N73" s="144"/>
      <c r="O73" s="124"/>
      <c r="P73" s="125">
        <f>SUM(O42:O72)</f>
        <v>168.00000000000006</v>
      </c>
      <c r="Q73" s="143" t="s">
        <v>23</v>
      </c>
      <c r="R73" s="128"/>
      <c r="S73" s="125">
        <f>SUM(R42:R72)</f>
        <v>151.20000000000002</v>
      </c>
      <c r="T73" s="129"/>
    </row>
    <row r="74" spans="1:22" x14ac:dyDescent="0.25">
      <c r="A74" s="130"/>
      <c r="B74" s="131" t="s">
        <v>22</v>
      </c>
      <c r="C74" s="132"/>
      <c r="D74" s="133">
        <f>S38+D73</f>
        <v>1230.6000000000004</v>
      </c>
      <c r="E74" s="135" t="str">
        <f>CONCATENATE(P37+S37+D73+G73)</f>
        <v>709.8</v>
      </c>
      <c r="F74" s="135"/>
      <c r="G74" s="133">
        <f>D74+G73</f>
        <v>1407.0000000000005</v>
      </c>
      <c r="H74" s="145"/>
      <c r="I74" s="132"/>
      <c r="J74" s="133">
        <f>G74+J73</f>
        <v>1583.4000000000005</v>
      </c>
      <c r="K74" s="145"/>
      <c r="L74" s="132"/>
      <c r="M74" s="133">
        <f>J74+M73</f>
        <v>1776.6000000000006</v>
      </c>
      <c r="N74" s="145"/>
      <c r="O74" s="132"/>
      <c r="P74" s="133">
        <f>M74+P73</f>
        <v>1944.6000000000006</v>
      </c>
      <c r="Q74" s="135" t="str">
        <f>CONCATENATE(J73+M73+P73+S73)</f>
        <v>688.8</v>
      </c>
      <c r="R74" s="135"/>
      <c r="S74" s="146">
        <f>P74+S73</f>
        <v>2095.8000000000006</v>
      </c>
      <c r="T74" s="136"/>
    </row>
    <row r="76" spans="1:22" x14ac:dyDescent="0.25">
      <c r="S76" s="105">
        <f>Q72-B6+1</f>
        <v>366</v>
      </c>
    </row>
    <row r="78" spans="1:22" x14ac:dyDescent="0.25">
      <c r="T78" s="147"/>
    </row>
  </sheetData>
  <mergeCells count="3">
    <mergeCell ref="U1:V1"/>
    <mergeCell ref="E2:F2"/>
    <mergeCell ref="U2:V2"/>
  </mergeCells>
  <dataValidations count="1">
    <dataValidation type="list" allowBlank="1" showInputMessage="1" showErrorMessage="1" sqref="Z8:Z21">
      <formula1>$AA$2:$AA$4</formula1>
    </dataValidation>
  </dataValidations>
  <pageMargins left="0.51181102362204722" right="0.27559055118110237" top="0.23622047244094491" bottom="0.47244094488188981" header="0.51181102362204722" footer="0.31496062992125984"/>
  <pageSetup paperSize="9" orientation="portrait" r:id="rId1"/>
  <headerFooter alignWithMargins="0">
    <oddFooter>&amp;L&amp;6Dienststelle Personal des Kantons Luzern &amp;D/cb, vgl. § 18 der Personalverordnung; Arbeitsfreie Tage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6"/>
  <sheetViews>
    <sheetView workbookViewId="0">
      <selection activeCell="AA18" sqref="AA18"/>
    </sheetView>
  </sheetViews>
  <sheetFormatPr baseColWidth="10" defaultColWidth="11" defaultRowHeight="13.8" x14ac:dyDescent="0.25"/>
  <cols>
    <col min="1" max="3" width="11.19921875" style="6" customWidth="1"/>
    <col min="4" max="16384" width="11" style="4"/>
  </cols>
  <sheetData>
    <row r="1" spans="1:3" x14ac:dyDescent="0.25">
      <c r="A1" s="59" t="s">
        <v>37</v>
      </c>
      <c r="B1" s="59" t="s">
        <v>38</v>
      </c>
      <c r="C1" s="59" t="s">
        <v>39</v>
      </c>
    </row>
    <row r="2" spans="1:3" x14ac:dyDescent="0.25">
      <c r="A2" s="60">
        <v>0</v>
      </c>
      <c r="B2" s="60">
        <v>0</v>
      </c>
      <c r="C2" s="60">
        <v>0</v>
      </c>
    </row>
    <row r="3" spans="1:3" x14ac:dyDescent="0.25">
      <c r="A3" s="60">
        <v>1</v>
      </c>
      <c r="B3" s="60">
        <v>20</v>
      </c>
      <c r="C3" s="60">
        <v>28</v>
      </c>
    </row>
    <row r="4" spans="1:3" x14ac:dyDescent="0.25">
      <c r="A4" s="60">
        <v>21</v>
      </c>
      <c r="B4" s="60">
        <f>A5-1</f>
        <v>49</v>
      </c>
      <c r="C4" s="60">
        <v>23</v>
      </c>
    </row>
    <row r="5" spans="1:3" x14ac:dyDescent="0.25">
      <c r="A5" s="60">
        <v>50</v>
      </c>
      <c r="B5" s="60">
        <f>A6-1</f>
        <v>59</v>
      </c>
      <c r="C5" s="60">
        <v>28</v>
      </c>
    </row>
    <row r="6" spans="1:3" x14ac:dyDescent="0.25">
      <c r="A6" s="60">
        <v>60</v>
      </c>
      <c r="B6" s="60">
        <v>99</v>
      </c>
      <c r="C6" s="60">
        <v>30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374"/>
  <sheetViews>
    <sheetView workbookViewId="0">
      <pane ySplit="1" topLeftCell="A2" activePane="bottomLeft" state="frozen"/>
      <selection activeCell="AA18" sqref="AA18"/>
      <selection pane="bottomLeft"/>
    </sheetView>
  </sheetViews>
  <sheetFormatPr baseColWidth="10" defaultColWidth="11.19921875" defaultRowHeight="13.8" x14ac:dyDescent="0.25"/>
  <cols>
    <col min="1" max="1" width="6.3984375" style="6" bestFit="1" customWidth="1"/>
    <col min="2" max="2" width="4" style="6" bestFit="1" customWidth="1"/>
    <col min="3" max="3" width="9.8984375" style="56" bestFit="1" customWidth="1"/>
    <col min="4" max="4" width="5.09765625" style="57" bestFit="1" customWidth="1"/>
    <col min="5" max="5" width="12.09765625" style="54" bestFit="1" customWidth="1"/>
    <col min="6" max="6" width="11.19921875" style="4"/>
    <col min="7" max="7" width="19.09765625" style="55" bestFit="1" customWidth="1"/>
    <col min="8" max="16384" width="11.19921875" style="4"/>
  </cols>
  <sheetData>
    <row r="1" spans="1:14" x14ac:dyDescent="0.25">
      <c r="A1" s="30" t="s">
        <v>25</v>
      </c>
      <c r="B1" s="30" t="s">
        <v>27</v>
      </c>
      <c r="C1" s="49" t="s">
        <v>31</v>
      </c>
      <c r="D1" s="50" t="s">
        <v>32</v>
      </c>
      <c r="E1" s="51" t="s">
        <v>48</v>
      </c>
      <c r="G1" s="52" t="s">
        <v>69</v>
      </c>
    </row>
    <row r="2" spans="1:14" x14ac:dyDescent="0.25">
      <c r="A2" s="6">
        <v>1</v>
      </c>
      <c r="B2" s="6">
        <v>1</v>
      </c>
      <c r="C2" s="41">
        <f>SollAZ!B6</f>
        <v>45292</v>
      </c>
      <c r="D2" s="53">
        <v>1</v>
      </c>
      <c r="E2" s="54" t="str">
        <f>SollAZ!C6</f>
        <v>Neujahr</v>
      </c>
      <c r="G2" s="55">
        <f>MAX(D:D)-COUNTIF(C2:C373,"")</f>
        <v>366</v>
      </c>
    </row>
    <row r="3" spans="1:14" x14ac:dyDescent="0.25">
      <c r="A3" s="6">
        <v>1</v>
      </c>
      <c r="B3" s="6">
        <v>2</v>
      </c>
      <c r="C3" s="41">
        <f>SollAZ!B7</f>
        <v>45293</v>
      </c>
      <c r="D3" s="53">
        <v>2</v>
      </c>
      <c r="E3" s="54" t="str">
        <f>SollAZ!C7</f>
        <v>Berchtoldstag</v>
      </c>
    </row>
    <row r="4" spans="1:14" x14ac:dyDescent="0.25">
      <c r="A4" s="6">
        <v>1</v>
      </c>
      <c r="B4" s="6">
        <v>3</v>
      </c>
      <c r="C4" s="41">
        <f>SollAZ!B8</f>
        <v>45294</v>
      </c>
      <c r="D4" s="53">
        <v>3</v>
      </c>
      <c r="E4" s="54">
        <f>SollAZ!C8</f>
        <v>8.4</v>
      </c>
      <c r="J4" s="58"/>
      <c r="N4" s="58"/>
    </row>
    <row r="5" spans="1:14" x14ac:dyDescent="0.25">
      <c r="A5" s="6">
        <v>1</v>
      </c>
      <c r="B5" s="6">
        <v>4</v>
      </c>
      <c r="C5" s="41">
        <f>SollAZ!B9</f>
        <v>45295</v>
      </c>
      <c r="D5" s="53">
        <v>4</v>
      </c>
      <c r="E5" s="54">
        <f>SollAZ!C9</f>
        <v>8.4</v>
      </c>
    </row>
    <row r="6" spans="1:14" x14ac:dyDescent="0.25">
      <c r="A6" s="6">
        <v>1</v>
      </c>
      <c r="B6" s="6">
        <v>5</v>
      </c>
      <c r="C6" s="41">
        <f>SollAZ!B10</f>
        <v>45296</v>
      </c>
      <c r="D6" s="53">
        <v>5</v>
      </c>
      <c r="E6" s="54">
        <f>SollAZ!C10</f>
        <v>8.4</v>
      </c>
    </row>
    <row r="7" spans="1:14" x14ac:dyDescent="0.25">
      <c r="A7" s="6">
        <v>1</v>
      </c>
      <c r="B7" s="6">
        <v>6</v>
      </c>
      <c r="C7" s="41">
        <f>SollAZ!B11</f>
        <v>45297</v>
      </c>
      <c r="D7" s="53">
        <v>6</v>
      </c>
      <c r="E7" s="54" t="str">
        <f>SollAZ!C11</f>
        <v/>
      </c>
      <c r="J7" s="56"/>
      <c r="N7" s="58"/>
    </row>
    <row r="8" spans="1:14" x14ac:dyDescent="0.25">
      <c r="A8" s="6">
        <v>1</v>
      </c>
      <c r="B8" s="6">
        <v>7</v>
      </c>
      <c r="C8" s="41">
        <f>SollAZ!B12</f>
        <v>45298</v>
      </c>
      <c r="D8" s="53">
        <v>7</v>
      </c>
      <c r="E8" s="54" t="str">
        <f>SollAZ!C12</f>
        <v/>
      </c>
      <c r="J8" s="56"/>
    </row>
    <row r="9" spans="1:14" x14ac:dyDescent="0.25">
      <c r="A9" s="6">
        <v>1</v>
      </c>
      <c r="B9" s="6">
        <v>8</v>
      </c>
      <c r="C9" s="41">
        <f>SollAZ!B13</f>
        <v>45299</v>
      </c>
      <c r="D9" s="53">
        <v>8</v>
      </c>
      <c r="E9" s="54">
        <f>SollAZ!C13</f>
        <v>8.4</v>
      </c>
    </row>
    <row r="10" spans="1:14" x14ac:dyDescent="0.25">
      <c r="A10" s="6">
        <v>1</v>
      </c>
      <c r="B10" s="6">
        <v>9</v>
      </c>
      <c r="C10" s="41">
        <f>SollAZ!B14</f>
        <v>45300</v>
      </c>
      <c r="D10" s="53">
        <v>9</v>
      </c>
      <c r="E10" s="54">
        <f>SollAZ!C14</f>
        <v>8.4</v>
      </c>
    </row>
    <row r="11" spans="1:14" x14ac:dyDescent="0.25">
      <c r="A11" s="6">
        <v>1</v>
      </c>
      <c r="B11" s="6">
        <v>10</v>
      </c>
      <c r="C11" s="41">
        <f>SollAZ!B15</f>
        <v>45301</v>
      </c>
      <c r="D11" s="53">
        <v>10</v>
      </c>
      <c r="E11" s="54">
        <f>SollAZ!C15</f>
        <v>8.4</v>
      </c>
    </row>
    <row r="12" spans="1:14" x14ac:dyDescent="0.25">
      <c r="A12" s="6">
        <v>1</v>
      </c>
      <c r="B12" s="6">
        <v>11</v>
      </c>
      <c r="C12" s="41">
        <f>SollAZ!B16</f>
        <v>45302</v>
      </c>
      <c r="D12" s="53">
        <v>11</v>
      </c>
      <c r="E12" s="54">
        <f>SollAZ!C16</f>
        <v>8.4</v>
      </c>
    </row>
    <row r="13" spans="1:14" x14ac:dyDescent="0.25">
      <c r="A13" s="6">
        <v>1</v>
      </c>
      <c r="B13" s="6">
        <v>12</v>
      </c>
      <c r="C13" s="41">
        <f>SollAZ!B17</f>
        <v>45303</v>
      </c>
      <c r="D13" s="53">
        <v>12</v>
      </c>
      <c r="E13" s="54">
        <f>SollAZ!C17</f>
        <v>8.4</v>
      </c>
    </row>
    <row r="14" spans="1:14" x14ac:dyDescent="0.25">
      <c r="A14" s="6">
        <v>1</v>
      </c>
      <c r="B14" s="6">
        <v>13</v>
      </c>
      <c r="C14" s="41">
        <f>SollAZ!B18</f>
        <v>45304</v>
      </c>
      <c r="D14" s="53">
        <v>13</v>
      </c>
      <c r="E14" s="54" t="str">
        <f>SollAZ!C18</f>
        <v/>
      </c>
    </row>
    <row r="15" spans="1:14" x14ac:dyDescent="0.25">
      <c r="A15" s="6">
        <v>1</v>
      </c>
      <c r="B15" s="6">
        <v>14</v>
      </c>
      <c r="C15" s="41">
        <f>SollAZ!B19</f>
        <v>45305</v>
      </c>
      <c r="D15" s="53">
        <v>14</v>
      </c>
      <c r="E15" s="54" t="str">
        <f>SollAZ!C19</f>
        <v/>
      </c>
    </row>
    <row r="16" spans="1:14" x14ac:dyDescent="0.25">
      <c r="A16" s="6">
        <v>1</v>
      </c>
      <c r="B16" s="6">
        <v>15</v>
      </c>
      <c r="C16" s="41">
        <f>SollAZ!B20</f>
        <v>45306</v>
      </c>
      <c r="D16" s="53">
        <v>15</v>
      </c>
      <c r="E16" s="54">
        <f>SollAZ!C20</f>
        <v>8.4</v>
      </c>
    </row>
    <row r="17" spans="1:5" x14ac:dyDescent="0.25">
      <c r="A17" s="6">
        <v>1</v>
      </c>
      <c r="B17" s="6">
        <v>16</v>
      </c>
      <c r="C17" s="41">
        <f>SollAZ!B21</f>
        <v>45307</v>
      </c>
      <c r="D17" s="53">
        <v>16</v>
      </c>
      <c r="E17" s="54">
        <f>SollAZ!C21</f>
        <v>8.4</v>
      </c>
    </row>
    <row r="18" spans="1:5" x14ac:dyDescent="0.25">
      <c r="A18" s="6">
        <v>1</v>
      </c>
      <c r="B18" s="6">
        <v>17</v>
      </c>
      <c r="C18" s="41">
        <f>SollAZ!B22</f>
        <v>45308</v>
      </c>
      <c r="D18" s="53">
        <v>17</v>
      </c>
      <c r="E18" s="54">
        <f>SollAZ!C22</f>
        <v>8.4</v>
      </c>
    </row>
    <row r="19" spans="1:5" x14ac:dyDescent="0.25">
      <c r="A19" s="6">
        <v>1</v>
      </c>
      <c r="B19" s="6">
        <v>18</v>
      </c>
      <c r="C19" s="41">
        <f>SollAZ!B23</f>
        <v>45309</v>
      </c>
      <c r="D19" s="53">
        <v>18</v>
      </c>
      <c r="E19" s="54">
        <f>SollAZ!C23</f>
        <v>8.4</v>
      </c>
    </row>
    <row r="20" spans="1:5" x14ac:dyDescent="0.25">
      <c r="A20" s="6">
        <v>1</v>
      </c>
      <c r="B20" s="6">
        <v>19</v>
      </c>
      <c r="C20" s="41">
        <f>SollAZ!B24</f>
        <v>45310</v>
      </c>
      <c r="D20" s="53">
        <v>19</v>
      </c>
      <c r="E20" s="54">
        <f>SollAZ!C24</f>
        <v>8.4</v>
      </c>
    </row>
    <row r="21" spans="1:5" x14ac:dyDescent="0.25">
      <c r="A21" s="6">
        <v>1</v>
      </c>
      <c r="B21" s="6">
        <v>20</v>
      </c>
      <c r="C21" s="41">
        <f>SollAZ!B25</f>
        <v>45311</v>
      </c>
      <c r="D21" s="53">
        <v>20</v>
      </c>
      <c r="E21" s="54" t="str">
        <f>SollAZ!C25</f>
        <v/>
      </c>
    </row>
    <row r="22" spans="1:5" x14ac:dyDescent="0.25">
      <c r="A22" s="6">
        <v>1</v>
      </c>
      <c r="B22" s="6">
        <v>21</v>
      </c>
      <c r="C22" s="41">
        <f>SollAZ!B26</f>
        <v>45312</v>
      </c>
      <c r="D22" s="53">
        <v>21</v>
      </c>
      <c r="E22" s="54" t="str">
        <f>SollAZ!C26</f>
        <v/>
      </c>
    </row>
    <row r="23" spans="1:5" x14ac:dyDescent="0.25">
      <c r="A23" s="6">
        <v>1</v>
      </c>
      <c r="B23" s="6">
        <v>22</v>
      </c>
      <c r="C23" s="41">
        <f>SollAZ!B27</f>
        <v>45313</v>
      </c>
      <c r="D23" s="53">
        <v>22</v>
      </c>
      <c r="E23" s="54">
        <f>SollAZ!C27</f>
        <v>8.4</v>
      </c>
    </row>
    <row r="24" spans="1:5" x14ac:dyDescent="0.25">
      <c r="A24" s="6">
        <v>1</v>
      </c>
      <c r="B24" s="6">
        <v>23</v>
      </c>
      <c r="C24" s="41">
        <f>SollAZ!B28</f>
        <v>45314</v>
      </c>
      <c r="D24" s="53">
        <v>23</v>
      </c>
      <c r="E24" s="54">
        <f>SollAZ!C28</f>
        <v>8.4</v>
      </c>
    </row>
    <row r="25" spans="1:5" x14ac:dyDescent="0.25">
      <c r="A25" s="6">
        <v>1</v>
      </c>
      <c r="B25" s="6">
        <v>24</v>
      </c>
      <c r="C25" s="41">
        <f>SollAZ!B29</f>
        <v>45315</v>
      </c>
      <c r="D25" s="53">
        <v>24</v>
      </c>
      <c r="E25" s="54">
        <f>SollAZ!C29</f>
        <v>8.4</v>
      </c>
    </row>
    <row r="26" spans="1:5" x14ac:dyDescent="0.25">
      <c r="A26" s="6">
        <v>1</v>
      </c>
      <c r="B26" s="6">
        <v>25</v>
      </c>
      <c r="C26" s="41">
        <f>SollAZ!B30</f>
        <v>45316</v>
      </c>
      <c r="D26" s="53">
        <v>25</v>
      </c>
      <c r="E26" s="54">
        <f>SollAZ!C30</f>
        <v>8.4</v>
      </c>
    </row>
    <row r="27" spans="1:5" x14ac:dyDescent="0.25">
      <c r="A27" s="6">
        <v>1</v>
      </c>
      <c r="B27" s="6">
        <v>26</v>
      </c>
      <c r="C27" s="41">
        <f>SollAZ!B31</f>
        <v>45317</v>
      </c>
      <c r="D27" s="53">
        <v>26</v>
      </c>
      <c r="E27" s="54">
        <f>SollAZ!C31</f>
        <v>8.4</v>
      </c>
    </row>
    <row r="28" spans="1:5" x14ac:dyDescent="0.25">
      <c r="A28" s="6">
        <v>1</v>
      </c>
      <c r="B28" s="6">
        <v>27</v>
      </c>
      <c r="C28" s="41">
        <f>SollAZ!B32</f>
        <v>45318</v>
      </c>
      <c r="D28" s="53">
        <v>27</v>
      </c>
      <c r="E28" s="54" t="str">
        <f>SollAZ!C32</f>
        <v/>
      </c>
    </row>
    <row r="29" spans="1:5" x14ac:dyDescent="0.25">
      <c r="A29" s="6">
        <v>1</v>
      </c>
      <c r="B29" s="6">
        <v>28</v>
      </c>
      <c r="C29" s="41">
        <f>SollAZ!B33</f>
        <v>45319</v>
      </c>
      <c r="D29" s="53">
        <v>28</v>
      </c>
      <c r="E29" s="54" t="str">
        <f>SollAZ!C33</f>
        <v/>
      </c>
    </row>
    <row r="30" spans="1:5" x14ac:dyDescent="0.25">
      <c r="A30" s="6">
        <v>1</v>
      </c>
      <c r="B30" s="6">
        <v>29</v>
      </c>
      <c r="C30" s="41">
        <f>SollAZ!B34</f>
        <v>45320</v>
      </c>
      <c r="D30" s="53">
        <v>29</v>
      </c>
      <c r="E30" s="54">
        <f>SollAZ!C34</f>
        <v>8.4</v>
      </c>
    </row>
    <row r="31" spans="1:5" x14ac:dyDescent="0.25">
      <c r="A31" s="6">
        <v>1</v>
      </c>
      <c r="B31" s="6">
        <v>30</v>
      </c>
      <c r="C31" s="41">
        <f>SollAZ!B35</f>
        <v>45321</v>
      </c>
      <c r="D31" s="53">
        <v>30</v>
      </c>
      <c r="E31" s="54">
        <f>SollAZ!C35</f>
        <v>8.4</v>
      </c>
    </row>
    <row r="32" spans="1:5" x14ac:dyDescent="0.25">
      <c r="A32" s="6">
        <v>1</v>
      </c>
      <c r="B32" s="6">
        <v>31</v>
      </c>
      <c r="C32" s="41">
        <f>SollAZ!B36</f>
        <v>45322</v>
      </c>
      <c r="D32" s="53">
        <v>31</v>
      </c>
      <c r="E32" s="54">
        <f>SollAZ!C36</f>
        <v>8.4</v>
      </c>
    </row>
    <row r="33" spans="1:5" x14ac:dyDescent="0.25">
      <c r="A33" s="6">
        <v>2</v>
      </c>
      <c r="B33" s="6">
        <v>1</v>
      </c>
      <c r="C33" s="41">
        <f>SollAZ!E6</f>
        <v>45323</v>
      </c>
      <c r="D33" s="53">
        <v>32</v>
      </c>
      <c r="E33" s="54">
        <f>SollAZ!F6</f>
        <v>8.4</v>
      </c>
    </row>
    <row r="34" spans="1:5" x14ac:dyDescent="0.25">
      <c r="A34" s="6">
        <v>2</v>
      </c>
      <c r="B34" s="6">
        <v>2</v>
      </c>
      <c r="C34" s="41">
        <f>SollAZ!E7</f>
        <v>45324</v>
      </c>
      <c r="D34" s="53">
        <v>33</v>
      </c>
      <c r="E34" s="54">
        <f>SollAZ!F7</f>
        <v>8.4</v>
      </c>
    </row>
    <row r="35" spans="1:5" x14ac:dyDescent="0.25">
      <c r="A35" s="6">
        <v>2</v>
      </c>
      <c r="B35" s="6">
        <v>3</v>
      </c>
      <c r="C35" s="41">
        <f>SollAZ!E8</f>
        <v>45325</v>
      </c>
      <c r="D35" s="53">
        <v>34</v>
      </c>
      <c r="E35" s="54" t="str">
        <f>SollAZ!F8</f>
        <v/>
      </c>
    </row>
    <row r="36" spans="1:5" x14ac:dyDescent="0.25">
      <c r="A36" s="6">
        <v>2</v>
      </c>
      <c r="B36" s="6">
        <v>4</v>
      </c>
      <c r="C36" s="41">
        <f>SollAZ!E9</f>
        <v>45326</v>
      </c>
      <c r="D36" s="53">
        <v>35</v>
      </c>
      <c r="E36" s="54" t="str">
        <f>SollAZ!F9</f>
        <v/>
      </c>
    </row>
    <row r="37" spans="1:5" x14ac:dyDescent="0.25">
      <c r="A37" s="6">
        <v>2</v>
      </c>
      <c r="B37" s="6">
        <v>5</v>
      </c>
      <c r="C37" s="41">
        <f>SollAZ!E10</f>
        <v>45327</v>
      </c>
      <c r="D37" s="53">
        <v>36</v>
      </c>
      <c r="E37" s="54">
        <f>SollAZ!F10</f>
        <v>8.4</v>
      </c>
    </row>
    <row r="38" spans="1:5" x14ac:dyDescent="0.25">
      <c r="A38" s="6">
        <v>2</v>
      </c>
      <c r="B38" s="6">
        <v>6</v>
      </c>
      <c r="C38" s="41">
        <f>SollAZ!E11</f>
        <v>45328</v>
      </c>
      <c r="D38" s="53">
        <v>37</v>
      </c>
      <c r="E38" s="54">
        <f>SollAZ!F11</f>
        <v>8.4</v>
      </c>
    </row>
    <row r="39" spans="1:5" x14ac:dyDescent="0.25">
      <c r="A39" s="6">
        <v>2</v>
      </c>
      <c r="B39" s="6">
        <v>7</v>
      </c>
      <c r="C39" s="41">
        <f>SollAZ!E12</f>
        <v>45329</v>
      </c>
      <c r="D39" s="53">
        <v>38</v>
      </c>
      <c r="E39" s="54">
        <f>SollAZ!F12</f>
        <v>8.4</v>
      </c>
    </row>
    <row r="40" spans="1:5" x14ac:dyDescent="0.25">
      <c r="A40" s="6">
        <v>2</v>
      </c>
      <c r="B40" s="6">
        <v>8</v>
      </c>
      <c r="C40" s="41">
        <f>SollAZ!E13</f>
        <v>45330</v>
      </c>
      <c r="D40" s="53">
        <v>39</v>
      </c>
      <c r="E40" s="54">
        <f>SollAZ!F13</f>
        <v>8.4</v>
      </c>
    </row>
    <row r="41" spans="1:5" x14ac:dyDescent="0.25">
      <c r="A41" s="6">
        <v>2</v>
      </c>
      <c r="B41" s="6">
        <v>9</v>
      </c>
      <c r="C41" s="41">
        <f>SollAZ!E14</f>
        <v>45331</v>
      </c>
      <c r="D41" s="53">
        <v>40</v>
      </c>
      <c r="E41" s="54">
        <f>SollAZ!F14</f>
        <v>8.4</v>
      </c>
    </row>
    <row r="42" spans="1:5" x14ac:dyDescent="0.25">
      <c r="A42" s="6">
        <v>2</v>
      </c>
      <c r="B42" s="6">
        <v>10</v>
      </c>
      <c r="C42" s="41">
        <f>SollAZ!E15</f>
        <v>45332</v>
      </c>
      <c r="D42" s="53">
        <v>41</v>
      </c>
      <c r="E42" s="54" t="str">
        <f>SollAZ!F15</f>
        <v/>
      </c>
    </row>
    <row r="43" spans="1:5" x14ac:dyDescent="0.25">
      <c r="A43" s="6">
        <v>2</v>
      </c>
      <c r="B43" s="6">
        <v>11</v>
      </c>
      <c r="C43" s="41">
        <f>SollAZ!E16</f>
        <v>45333</v>
      </c>
      <c r="D43" s="53">
        <v>42</v>
      </c>
      <c r="E43" s="54" t="str">
        <f>SollAZ!F16</f>
        <v/>
      </c>
    </row>
    <row r="44" spans="1:5" x14ac:dyDescent="0.25">
      <c r="A44" s="6">
        <v>2</v>
      </c>
      <c r="B44" s="6">
        <v>12</v>
      </c>
      <c r="C44" s="41">
        <f>SollAZ!E17</f>
        <v>45334</v>
      </c>
      <c r="D44" s="53">
        <v>43</v>
      </c>
      <c r="E44" s="54">
        <f>SollAZ!F17</f>
        <v>8.4</v>
      </c>
    </row>
    <row r="45" spans="1:5" x14ac:dyDescent="0.25">
      <c r="A45" s="6">
        <v>2</v>
      </c>
      <c r="B45" s="6">
        <v>13</v>
      </c>
      <c r="C45" s="41">
        <f>SollAZ!E18</f>
        <v>45335</v>
      </c>
      <c r="D45" s="53">
        <v>44</v>
      </c>
      <c r="E45" s="54">
        <f>SollAZ!F18</f>
        <v>8.4</v>
      </c>
    </row>
    <row r="46" spans="1:5" x14ac:dyDescent="0.25">
      <c r="A46" s="6">
        <v>2</v>
      </c>
      <c r="B46" s="6">
        <v>14</v>
      </c>
      <c r="C46" s="41">
        <f>SollAZ!E19</f>
        <v>45336</v>
      </c>
      <c r="D46" s="53">
        <v>45</v>
      </c>
      <c r="E46" s="54">
        <f>SollAZ!F19</f>
        <v>8.4</v>
      </c>
    </row>
    <row r="47" spans="1:5" x14ac:dyDescent="0.25">
      <c r="A47" s="6">
        <v>2</v>
      </c>
      <c r="B47" s="6">
        <v>15</v>
      </c>
      <c r="C47" s="41">
        <f>SollAZ!E20</f>
        <v>45337</v>
      </c>
      <c r="D47" s="53">
        <v>46</v>
      </c>
      <c r="E47" s="54">
        <f>SollAZ!F20</f>
        <v>8.4</v>
      </c>
    </row>
    <row r="48" spans="1:5" x14ac:dyDescent="0.25">
      <c r="A48" s="6">
        <v>2</v>
      </c>
      <c r="B48" s="6">
        <v>16</v>
      </c>
      <c r="C48" s="41">
        <f>SollAZ!E21</f>
        <v>45338</v>
      </c>
      <c r="D48" s="53">
        <v>47</v>
      </c>
      <c r="E48" s="54">
        <f>SollAZ!F21</f>
        <v>8.4</v>
      </c>
    </row>
    <row r="49" spans="1:5" x14ac:dyDescent="0.25">
      <c r="A49" s="6">
        <v>2</v>
      </c>
      <c r="B49" s="6">
        <v>17</v>
      </c>
      <c r="C49" s="41">
        <f>SollAZ!E22</f>
        <v>45339</v>
      </c>
      <c r="D49" s="53">
        <v>48</v>
      </c>
      <c r="E49" s="54" t="str">
        <f>SollAZ!F22</f>
        <v/>
      </c>
    </row>
    <row r="50" spans="1:5" x14ac:dyDescent="0.25">
      <c r="A50" s="6">
        <v>2</v>
      </c>
      <c r="B50" s="6">
        <v>18</v>
      </c>
      <c r="C50" s="41">
        <f>SollAZ!E23</f>
        <v>45340</v>
      </c>
      <c r="D50" s="53">
        <v>49</v>
      </c>
      <c r="E50" s="54" t="str">
        <f>SollAZ!F23</f>
        <v/>
      </c>
    </row>
    <row r="51" spans="1:5" x14ac:dyDescent="0.25">
      <c r="A51" s="6">
        <v>2</v>
      </c>
      <c r="B51" s="6">
        <v>19</v>
      </c>
      <c r="C51" s="41">
        <f>SollAZ!E24</f>
        <v>45341</v>
      </c>
      <c r="D51" s="53">
        <v>50</v>
      </c>
      <c r="E51" s="54">
        <f>SollAZ!F24</f>
        <v>8.4</v>
      </c>
    </row>
    <row r="52" spans="1:5" x14ac:dyDescent="0.25">
      <c r="A52" s="6">
        <v>2</v>
      </c>
      <c r="B52" s="6">
        <v>20</v>
      </c>
      <c r="C52" s="41">
        <f>SollAZ!E25</f>
        <v>45342</v>
      </c>
      <c r="D52" s="53">
        <v>51</v>
      </c>
      <c r="E52" s="54">
        <f>SollAZ!F25</f>
        <v>8.4</v>
      </c>
    </row>
    <row r="53" spans="1:5" x14ac:dyDescent="0.25">
      <c r="A53" s="6">
        <v>2</v>
      </c>
      <c r="B53" s="6">
        <v>21</v>
      </c>
      <c r="C53" s="41">
        <f>SollAZ!E26</f>
        <v>45343</v>
      </c>
      <c r="D53" s="53">
        <v>52</v>
      </c>
      <c r="E53" s="54">
        <f>SollAZ!F26</f>
        <v>8.4</v>
      </c>
    </row>
    <row r="54" spans="1:5" x14ac:dyDescent="0.25">
      <c r="A54" s="6">
        <v>2</v>
      </c>
      <c r="B54" s="6">
        <v>22</v>
      </c>
      <c r="C54" s="41">
        <f>SollAZ!E27</f>
        <v>45344</v>
      </c>
      <c r="D54" s="53">
        <v>53</v>
      </c>
      <c r="E54" s="54">
        <f>SollAZ!F27</f>
        <v>8.4</v>
      </c>
    </row>
    <row r="55" spans="1:5" x14ac:dyDescent="0.25">
      <c r="A55" s="6">
        <v>2</v>
      </c>
      <c r="B55" s="6">
        <v>23</v>
      </c>
      <c r="C55" s="41">
        <f>SollAZ!E28</f>
        <v>45345</v>
      </c>
      <c r="D55" s="53">
        <v>54</v>
      </c>
      <c r="E55" s="54">
        <f>SollAZ!F28</f>
        <v>8.4</v>
      </c>
    </row>
    <row r="56" spans="1:5" x14ac:dyDescent="0.25">
      <c r="A56" s="6">
        <v>2</v>
      </c>
      <c r="B56" s="6">
        <v>24</v>
      </c>
      <c r="C56" s="41">
        <f>SollAZ!E29</f>
        <v>45346</v>
      </c>
      <c r="D56" s="53">
        <v>55</v>
      </c>
      <c r="E56" s="54" t="str">
        <f>SollAZ!F29</f>
        <v/>
      </c>
    </row>
    <row r="57" spans="1:5" x14ac:dyDescent="0.25">
      <c r="A57" s="6">
        <v>2</v>
      </c>
      <c r="B57" s="6">
        <v>25</v>
      </c>
      <c r="C57" s="41">
        <f>SollAZ!E30</f>
        <v>45347</v>
      </c>
      <c r="D57" s="53">
        <v>56</v>
      </c>
      <c r="E57" s="54" t="str">
        <f>SollAZ!F30</f>
        <v/>
      </c>
    </row>
    <row r="58" spans="1:5" x14ac:dyDescent="0.25">
      <c r="A58" s="6">
        <v>2</v>
      </c>
      <c r="B58" s="6">
        <v>26</v>
      </c>
      <c r="C58" s="41">
        <f>SollAZ!E31</f>
        <v>45348</v>
      </c>
      <c r="D58" s="53">
        <v>57</v>
      </c>
      <c r="E58" s="54">
        <f>SollAZ!F31</f>
        <v>8.4</v>
      </c>
    </row>
    <row r="59" spans="1:5" x14ac:dyDescent="0.25">
      <c r="A59" s="6">
        <v>2</v>
      </c>
      <c r="B59" s="6">
        <v>27</v>
      </c>
      <c r="C59" s="41">
        <f>SollAZ!E32</f>
        <v>45349</v>
      </c>
      <c r="D59" s="53">
        <v>58</v>
      </c>
      <c r="E59" s="54">
        <f>SollAZ!F32</f>
        <v>8.4</v>
      </c>
    </row>
    <row r="60" spans="1:5" x14ac:dyDescent="0.25">
      <c r="A60" s="6">
        <v>2</v>
      </c>
      <c r="B60" s="6">
        <v>28</v>
      </c>
      <c r="C60" s="41">
        <f>SollAZ!E33</f>
        <v>45350</v>
      </c>
      <c r="D60" s="53">
        <v>59</v>
      </c>
      <c r="E60" s="54">
        <f>SollAZ!F33</f>
        <v>8.4</v>
      </c>
    </row>
    <row r="61" spans="1:5" x14ac:dyDescent="0.25">
      <c r="A61" s="6">
        <v>2</v>
      </c>
      <c r="B61" s="6">
        <v>29</v>
      </c>
      <c r="C61" s="41">
        <f>SollAZ!E34</f>
        <v>45351</v>
      </c>
      <c r="D61" s="53">
        <v>60</v>
      </c>
      <c r="E61" s="54">
        <f>SollAZ!F34</f>
        <v>8.4</v>
      </c>
    </row>
    <row r="62" spans="1:5" x14ac:dyDescent="0.25">
      <c r="A62" s="6">
        <v>2</v>
      </c>
      <c r="B62" s="6">
        <v>30</v>
      </c>
      <c r="C62" s="41" t="str">
        <f>SollAZ!E35</f>
        <v/>
      </c>
      <c r="D62" s="53">
        <v>61</v>
      </c>
      <c r="E62" s="54" t="str">
        <f>SollAZ!F35</f>
        <v/>
      </c>
    </row>
    <row r="63" spans="1:5" x14ac:dyDescent="0.25">
      <c r="A63" s="6">
        <v>2</v>
      </c>
      <c r="B63" s="6">
        <v>31</v>
      </c>
      <c r="C63" s="41" t="str">
        <f>SollAZ!E36</f>
        <v/>
      </c>
      <c r="D63" s="53">
        <v>62</v>
      </c>
      <c r="E63" s="54" t="str">
        <f>SollAZ!F36</f>
        <v/>
      </c>
    </row>
    <row r="64" spans="1:5" x14ac:dyDescent="0.25">
      <c r="A64" s="6">
        <v>3</v>
      </c>
      <c r="B64" s="6">
        <v>1</v>
      </c>
      <c r="C64" s="41">
        <f>SollAZ!H6</f>
        <v>45352</v>
      </c>
      <c r="D64" s="53">
        <v>63</v>
      </c>
      <c r="E64" s="54">
        <f>SollAZ!I6</f>
        <v>8.4</v>
      </c>
    </row>
    <row r="65" spans="1:5" x14ac:dyDescent="0.25">
      <c r="A65" s="6">
        <v>3</v>
      </c>
      <c r="B65" s="6">
        <v>2</v>
      </c>
      <c r="C65" s="41">
        <f>SollAZ!H7</f>
        <v>45353</v>
      </c>
      <c r="D65" s="53">
        <v>64</v>
      </c>
      <c r="E65" s="54" t="str">
        <f>SollAZ!I7</f>
        <v/>
      </c>
    </row>
    <row r="66" spans="1:5" x14ac:dyDescent="0.25">
      <c r="A66" s="6">
        <v>3</v>
      </c>
      <c r="B66" s="6">
        <v>3</v>
      </c>
      <c r="C66" s="41">
        <f>SollAZ!H8</f>
        <v>45354</v>
      </c>
      <c r="D66" s="53">
        <v>65</v>
      </c>
      <c r="E66" s="54" t="str">
        <f>SollAZ!I8</f>
        <v/>
      </c>
    </row>
    <row r="67" spans="1:5" x14ac:dyDescent="0.25">
      <c r="A67" s="6">
        <v>3</v>
      </c>
      <c r="B67" s="6">
        <v>4</v>
      </c>
      <c r="C67" s="41">
        <f>SollAZ!H9</f>
        <v>45355</v>
      </c>
      <c r="D67" s="53">
        <v>66</v>
      </c>
      <c r="E67" s="54">
        <f>SollAZ!I9</f>
        <v>8.4</v>
      </c>
    </row>
    <row r="68" spans="1:5" x14ac:dyDescent="0.25">
      <c r="A68" s="6">
        <v>3</v>
      </c>
      <c r="B68" s="6">
        <v>5</v>
      </c>
      <c r="C68" s="41">
        <f>SollAZ!H10</f>
        <v>45356</v>
      </c>
      <c r="D68" s="53">
        <v>67</v>
      </c>
      <c r="E68" s="54">
        <f>SollAZ!I10</f>
        <v>8.4</v>
      </c>
    </row>
    <row r="69" spans="1:5" x14ac:dyDescent="0.25">
      <c r="A69" s="6">
        <v>3</v>
      </c>
      <c r="B69" s="6">
        <v>6</v>
      </c>
      <c r="C69" s="41">
        <f>SollAZ!H11</f>
        <v>45357</v>
      </c>
      <c r="D69" s="53">
        <v>68</v>
      </c>
      <c r="E69" s="54">
        <f>SollAZ!I11</f>
        <v>8.4</v>
      </c>
    </row>
    <row r="70" spans="1:5" x14ac:dyDescent="0.25">
      <c r="A70" s="6">
        <v>3</v>
      </c>
      <c r="B70" s="6">
        <v>7</v>
      </c>
      <c r="C70" s="41">
        <f>SollAZ!H12</f>
        <v>45358</v>
      </c>
      <c r="D70" s="53">
        <v>69</v>
      </c>
      <c r="E70" s="54">
        <f>SollAZ!I12</f>
        <v>8.4</v>
      </c>
    </row>
    <row r="71" spans="1:5" x14ac:dyDescent="0.25">
      <c r="A71" s="6">
        <v>3</v>
      </c>
      <c r="B71" s="6">
        <v>8</v>
      </c>
      <c r="C71" s="41">
        <f>SollAZ!H13</f>
        <v>45359</v>
      </c>
      <c r="D71" s="53">
        <v>70</v>
      </c>
      <c r="E71" s="54">
        <f>SollAZ!I13</f>
        <v>8.4</v>
      </c>
    </row>
    <row r="72" spans="1:5" x14ac:dyDescent="0.25">
      <c r="A72" s="6">
        <v>3</v>
      </c>
      <c r="B72" s="6">
        <v>9</v>
      </c>
      <c r="C72" s="41">
        <f>SollAZ!H14</f>
        <v>45360</v>
      </c>
      <c r="D72" s="53">
        <v>71</v>
      </c>
      <c r="E72" s="54" t="str">
        <f>SollAZ!I14</f>
        <v/>
      </c>
    </row>
    <row r="73" spans="1:5" x14ac:dyDescent="0.25">
      <c r="A73" s="6">
        <v>3</v>
      </c>
      <c r="B73" s="6">
        <v>10</v>
      </c>
      <c r="C73" s="41">
        <f>SollAZ!H15</f>
        <v>45361</v>
      </c>
      <c r="D73" s="53">
        <v>72</v>
      </c>
      <c r="E73" s="54" t="str">
        <f>SollAZ!I15</f>
        <v/>
      </c>
    </row>
    <row r="74" spans="1:5" x14ac:dyDescent="0.25">
      <c r="A74" s="6">
        <v>3</v>
      </c>
      <c r="B74" s="6">
        <v>11</v>
      </c>
      <c r="C74" s="41">
        <f>SollAZ!H16</f>
        <v>45362</v>
      </c>
      <c r="D74" s="53">
        <v>73</v>
      </c>
      <c r="E74" s="54">
        <f>SollAZ!I16</f>
        <v>8.4</v>
      </c>
    </row>
    <row r="75" spans="1:5" x14ac:dyDescent="0.25">
      <c r="A75" s="6">
        <v>3</v>
      </c>
      <c r="B75" s="6">
        <v>12</v>
      </c>
      <c r="C75" s="41">
        <f>SollAZ!H17</f>
        <v>45363</v>
      </c>
      <c r="D75" s="53">
        <v>74</v>
      </c>
      <c r="E75" s="54">
        <f>SollAZ!I17</f>
        <v>8.4</v>
      </c>
    </row>
    <row r="76" spans="1:5" x14ac:dyDescent="0.25">
      <c r="A76" s="6">
        <v>3</v>
      </c>
      <c r="B76" s="6">
        <v>13</v>
      </c>
      <c r="C76" s="41">
        <f>SollAZ!H18</f>
        <v>45364</v>
      </c>
      <c r="D76" s="53">
        <v>75</v>
      </c>
      <c r="E76" s="54">
        <f>SollAZ!I18</f>
        <v>8.4</v>
      </c>
    </row>
    <row r="77" spans="1:5" x14ac:dyDescent="0.25">
      <c r="A77" s="6">
        <v>3</v>
      </c>
      <c r="B77" s="6">
        <v>14</v>
      </c>
      <c r="C77" s="41">
        <f>SollAZ!H19</f>
        <v>45365</v>
      </c>
      <c r="D77" s="53">
        <v>76</v>
      </c>
      <c r="E77" s="54">
        <f>SollAZ!I19</f>
        <v>8.4</v>
      </c>
    </row>
    <row r="78" spans="1:5" x14ac:dyDescent="0.25">
      <c r="A78" s="6">
        <v>3</v>
      </c>
      <c r="B78" s="6">
        <v>15</v>
      </c>
      <c r="C78" s="41">
        <f>SollAZ!H20</f>
        <v>45366</v>
      </c>
      <c r="D78" s="53">
        <v>77</v>
      </c>
      <c r="E78" s="54">
        <f>SollAZ!I20</f>
        <v>8.4</v>
      </c>
    </row>
    <row r="79" spans="1:5" x14ac:dyDescent="0.25">
      <c r="A79" s="6">
        <v>3</v>
      </c>
      <c r="B79" s="6">
        <v>16</v>
      </c>
      <c r="C79" s="41">
        <f>SollAZ!H21</f>
        <v>45367</v>
      </c>
      <c r="D79" s="53">
        <v>78</v>
      </c>
      <c r="E79" s="54" t="str">
        <f>SollAZ!I21</f>
        <v/>
      </c>
    </row>
    <row r="80" spans="1:5" x14ac:dyDescent="0.25">
      <c r="A80" s="6">
        <v>3</v>
      </c>
      <c r="B80" s="6">
        <v>17</v>
      </c>
      <c r="C80" s="41">
        <f>SollAZ!H22</f>
        <v>45368</v>
      </c>
      <c r="D80" s="53">
        <v>79</v>
      </c>
      <c r="E80" s="54" t="str">
        <f>SollAZ!I22</f>
        <v/>
      </c>
    </row>
    <row r="81" spans="1:5" x14ac:dyDescent="0.25">
      <c r="A81" s="6">
        <v>3</v>
      </c>
      <c r="B81" s="6">
        <v>18</v>
      </c>
      <c r="C81" s="41">
        <f>SollAZ!H23</f>
        <v>45369</v>
      </c>
      <c r="D81" s="53">
        <v>80</v>
      </c>
      <c r="E81" s="54">
        <f>SollAZ!I23</f>
        <v>8.4</v>
      </c>
    </row>
    <row r="82" spans="1:5" x14ac:dyDescent="0.25">
      <c r="A82" s="6">
        <v>3</v>
      </c>
      <c r="B82" s="6">
        <v>19</v>
      </c>
      <c r="C82" s="41">
        <f>SollAZ!H24</f>
        <v>45370</v>
      </c>
      <c r="D82" s="53">
        <v>81</v>
      </c>
      <c r="E82" s="54">
        <f>SollAZ!I24</f>
        <v>8.4</v>
      </c>
    </row>
    <row r="83" spans="1:5" x14ac:dyDescent="0.25">
      <c r="A83" s="6">
        <v>3</v>
      </c>
      <c r="B83" s="6">
        <v>20</v>
      </c>
      <c r="C83" s="41">
        <f>SollAZ!H25</f>
        <v>45371</v>
      </c>
      <c r="D83" s="53">
        <v>82</v>
      </c>
      <c r="E83" s="54">
        <f>SollAZ!I25</f>
        <v>8.4</v>
      </c>
    </row>
    <row r="84" spans="1:5" x14ac:dyDescent="0.25">
      <c r="A84" s="6">
        <v>3</v>
      </c>
      <c r="B84" s="6">
        <v>21</v>
      </c>
      <c r="C84" s="41">
        <f>SollAZ!H26</f>
        <v>45372</v>
      </c>
      <c r="D84" s="53">
        <v>83</v>
      </c>
      <c r="E84" s="54">
        <f>SollAZ!I26</f>
        <v>8.4</v>
      </c>
    </row>
    <row r="85" spans="1:5" x14ac:dyDescent="0.25">
      <c r="A85" s="6">
        <v>3</v>
      </c>
      <c r="B85" s="6">
        <v>22</v>
      </c>
      <c r="C85" s="41">
        <f>SollAZ!H27</f>
        <v>45373</v>
      </c>
      <c r="D85" s="53">
        <v>84</v>
      </c>
      <c r="E85" s="54">
        <f>SollAZ!I27</f>
        <v>8.4</v>
      </c>
    </row>
    <row r="86" spans="1:5" x14ac:dyDescent="0.25">
      <c r="A86" s="6">
        <v>3</v>
      </c>
      <c r="B86" s="6">
        <v>23</v>
      </c>
      <c r="C86" s="41">
        <f>SollAZ!H28</f>
        <v>45374</v>
      </c>
      <c r="D86" s="53">
        <v>85</v>
      </c>
      <c r="E86" s="54" t="str">
        <f>SollAZ!I28</f>
        <v/>
      </c>
    </row>
    <row r="87" spans="1:5" x14ac:dyDescent="0.25">
      <c r="A87" s="6">
        <v>3</v>
      </c>
      <c r="B87" s="6">
        <v>24</v>
      </c>
      <c r="C87" s="41">
        <f>SollAZ!H29</f>
        <v>45375</v>
      </c>
      <c r="D87" s="53">
        <v>86</v>
      </c>
      <c r="E87" s="54" t="str">
        <f>SollAZ!I29</f>
        <v/>
      </c>
    </row>
    <row r="88" spans="1:5" x14ac:dyDescent="0.25">
      <c r="A88" s="6">
        <v>3</v>
      </c>
      <c r="B88" s="6">
        <v>25</v>
      </c>
      <c r="C88" s="41">
        <f>SollAZ!H30</f>
        <v>45376</v>
      </c>
      <c r="D88" s="53">
        <v>87</v>
      </c>
      <c r="E88" s="54">
        <f>SollAZ!I30</f>
        <v>8.4</v>
      </c>
    </row>
    <row r="89" spans="1:5" x14ac:dyDescent="0.25">
      <c r="A89" s="6">
        <v>3</v>
      </c>
      <c r="B89" s="6">
        <v>26</v>
      </c>
      <c r="C89" s="41">
        <f>SollAZ!H31</f>
        <v>45377</v>
      </c>
      <c r="D89" s="53">
        <v>88</v>
      </c>
      <c r="E89" s="54">
        <f>SollAZ!I31</f>
        <v>8.4</v>
      </c>
    </row>
    <row r="90" spans="1:5" x14ac:dyDescent="0.25">
      <c r="A90" s="6">
        <v>3</v>
      </c>
      <c r="B90" s="6">
        <v>27</v>
      </c>
      <c r="C90" s="41">
        <f>SollAZ!H32</f>
        <v>45378</v>
      </c>
      <c r="D90" s="53">
        <v>89</v>
      </c>
      <c r="E90" s="54">
        <f>SollAZ!I32</f>
        <v>8.4</v>
      </c>
    </row>
    <row r="91" spans="1:5" x14ac:dyDescent="0.25">
      <c r="A91" s="6">
        <v>3</v>
      </c>
      <c r="B91" s="6">
        <v>28</v>
      </c>
      <c r="C91" s="41">
        <f>SollAZ!H33</f>
        <v>45379</v>
      </c>
      <c r="D91" s="53">
        <v>90</v>
      </c>
      <c r="E91" s="54">
        <f>SollAZ!I33</f>
        <v>8.4</v>
      </c>
    </row>
    <row r="92" spans="1:5" x14ac:dyDescent="0.25">
      <c r="A92" s="6">
        <v>3</v>
      </c>
      <c r="B92" s="6">
        <v>29</v>
      </c>
      <c r="C92" s="41">
        <f>SollAZ!H34</f>
        <v>45380</v>
      </c>
      <c r="D92" s="53">
        <v>91</v>
      </c>
      <c r="E92" s="54" t="str">
        <f>SollAZ!I34</f>
        <v>Karfreitag</v>
      </c>
    </row>
    <row r="93" spans="1:5" x14ac:dyDescent="0.25">
      <c r="A93" s="6">
        <v>3</v>
      </c>
      <c r="B93" s="6">
        <v>30</v>
      </c>
      <c r="C93" s="41">
        <f>SollAZ!H35</f>
        <v>45381</v>
      </c>
      <c r="D93" s="53">
        <v>92</v>
      </c>
      <c r="E93" s="54" t="str">
        <f>SollAZ!I35</f>
        <v/>
      </c>
    </row>
    <row r="94" spans="1:5" x14ac:dyDescent="0.25">
      <c r="A94" s="6">
        <v>3</v>
      </c>
      <c r="B94" s="6">
        <v>31</v>
      </c>
      <c r="C94" s="41">
        <f>SollAZ!H36</f>
        <v>45382</v>
      </c>
      <c r="D94" s="53">
        <v>93</v>
      </c>
      <c r="E94" s="54" t="str">
        <f>SollAZ!I36</f>
        <v/>
      </c>
    </row>
    <row r="95" spans="1:5" x14ac:dyDescent="0.25">
      <c r="A95" s="6">
        <v>4</v>
      </c>
      <c r="B95" s="6">
        <v>1</v>
      </c>
      <c r="C95" s="41">
        <f>SollAZ!K6</f>
        <v>45383</v>
      </c>
      <c r="D95" s="53">
        <v>94</v>
      </c>
      <c r="E95" s="54" t="str">
        <f>SollAZ!L6</f>
        <v>Ostermontag</v>
      </c>
    </row>
    <row r="96" spans="1:5" x14ac:dyDescent="0.25">
      <c r="A96" s="6">
        <v>4</v>
      </c>
      <c r="B96" s="6">
        <v>2</v>
      </c>
      <c r="C96" s="41">
        <f>SollAZ!K7</f>
        <v>45384</v>
      </c>
      <c r="D96" s="53">
        <v>95</v>
      </c>
      <c r="E96" s="54">
        <f>SollAZ!L7</f>
        <v>8.4</v>
      </c>
    </row>
    <row r="97" spans="1:5" x14ac:dyDescent="0.25">
      <c r="A97" s="6">
        <v>4</v>
      </c>
      <c r="B97" s="6">
        <v>3</v>
      </c>
      <c r="C97" s="41">
        <f>SollAZ!K8</f>
        <v>45385</v>
      </c>
      <c r="D97" s="53">
        <v>96</v>
      </c>
      <c r="E97" s="54">
        <f>SollAZ!L8</f>
        <v>8.4</v>
      </c>
    </row>
    <row r="98" spans="1:5" x14ac:dyDescent="0.25">
      <c r="A98" s="6">
        <v>4</v>
      </c>
      <c r="B98" s="6">
        <v>4</v>
      </c>
      <c r="C98" s="41">
        <f>SollAZ!K9</f>
        <v>45386</v>
      </c>
      <c r="D98" s="53">
        <v>97</v>
      </c>
      <c r="E98" s="54">
        <f>SollAZ!L9</f>
        <v>8.4</v>
      </c>
    </row>
    <row r="99" spans="1:5" x14ac:dyDescent="0.25">
      <c r="A99" s="6">
        <v>4</v>
      </c>
      <c r="B99" s="6">
        <v>5</v>
      </c>
      <c r="C99" s="41">
        <f>SollAZ!K10</f>
        <v>45387</v>
      </c>
      <c r="D99" s="53">
        <v>98</v>
      </c>
      <c r="E99" s="54">
        <f>SollAZ!L10</f>
        <v>8.4</v>
      </c>
    </row>
    <row r="100" spans="1:5" x14ac:dyDescent="0.25">
      <c r="A100" s="6">
        <v>4</v>
      </c>
      <c r="B100" s="6">
        <v>6</v>
      </c>
      <c r="C100" s="41">
        <f>SollAZ!K11</f>
        <v>45388</v>
      </c>
      <c r="D100" s="53">
        <v>99</v>
      </c>
      <c r="E100" s="54" t="str">
        <f>SollAZ!L11</f>
        <v/>
      </c>
    </row>
    <row r="101" spans="1:5" x14ac:dyDescent="0.25">
      <c r="A101" s="6">
        <v>4</v>
      </c>
      <c r="B101" s="6">
        <v>7</v>
      </c>
      <c r="C101" s="41">
        <f>SollAZ!K12</f>
        <v>45389</v>
      </c>
      <c r="D101" s="53">
        <v>100</v>
      </c>
      <c r="E101" s="54" t="str">
        <f>SollAZ!L12</f>
        <v/>
      </c>
    </row>
    <row r="102" spans="1:5" x14ac:dyDescent="0.25">
      <c r="A102" s="6">
        <v>4</v>
      </c>
      <c r="B102" s="6">
        <v>8</v>
      </c>
      <c r="C102" s="41">
        <f>SollAZ!K13</f>
        <v>45390</v>
      </c>
      <c r="D102" s="53">
        <v>101</v>
      </c>
      <c r="E102" s="54">
        <f>SollAZ!L13</f>
        <v>8.4</v>
      </c>
    </row>
    <row r="103" spans="1:5" x14ac:dyDescent="0.25">
      <c r="A103" s="6">
        <v>4</v>
      </c>
      <c r="B103" s="6">
        <v>9</v>
      </c>
      <c r="C103" s="41">
        <f>SollAZ!K14</f>
        <v>45391</v>
      </c>
      <c r="D103" s="53">
        <v>102</v>
      </c>
      <c r="E103" s="54">
        <f>SollAZ!L14</f>
        <v>8.4</v>
      </c>
    </row>
    <row r="104" spans="1:5" x14ac:dyDescent="0.25">
      <c r="A104" s="6">
        <v>4</v>
      </c>
      <c r="B104" s="6">
        <v>10</v>
      </c>
      <c r="C104" s="41">
        <f>SollAZ!K15</f>
        <v>45392</v>
      </c>
      <c r="D104" s="53">
        <v>103</v>
      </c>
      <c r="E104" s="54">
        <f>SollAZ!L15</f>
        <v>8.4</v>
      </c>
    </row>
    <row r="105" spans="1:5" x14ac:dyDescent="0.25">
      <c r="A105" s="6">
        <v>4</v>
      </c>
      <c r="B105" s="6">
        <v>11</v>
      </c>
      <c r="C105" s="41">
        <f>SollAZ!K16</f>
        <v>45393</v>
      </c>
      <c r="D105" s="53">
        <v>104</v>
      </c>
      <c r="E105" s="54">
        <f>SollAZ!L16</f>
        <v>8.4</v>
      </c>
    </row>
    <row r="106" spans="1:5" x14ac:dyDescent="0.25">
      <c r="A106" s="6">
        <v>4</v>
      </c>
      <c r="B106" s="6">
        <v>12</v>
      </c>
      <c r="C106" s="41">
        <f>SollAZ!K17</f>
        <v>45394</v>
      </c>
      <c r="D106" s="53">
        <v>105</v>
      </c>
      <c r="E106" s="54">
        <f>SollAZ!L17</f>
        <v>8.4</v>
      </c>
    </row>
    <row r="107" spans="1:5" x14ac:dyDescent="0.25">
      <c r="A107" s="6">
        <v>4</v>
      </c>
      <c r="B107" s="6">
        <v>13</v>
      </c>
      <c r="C107" s="41">
        <f>SollAZ!K18</f>
        <v>45395</v>
      </c>
      <c r="D107" s="53">
        <v>106</v>
      </c>
      <c r="E107" s="54" t="str">
        <f>SollAZ!L18</f>
        <v/>
      </c>
    </row>
    <row r="108" spans="1:5" x14ac:dyDescent="0.25">
      <c r="A108" s="6">
        <v>4</v>
      </c>
      <c r="B108" s="6">
        <v>14</v>
      </c>
      <c r="C108" s="41">
        <f>SollAZ!K19</f>
        <v>45396</v>
      </c>
      <c r="D108" s="53">
        <v>107</v>
      </c>
      <c r="E108" s="54" t="str">
        <f>SollAZ!L19</f>
        <v/>
      </c>
    </row>
    <row r="109" spans="1:5" x14ac:dyDescent="0.25">
      <c r="A109" s="6">
        <v>4</v>
      </c>
      <c r="B109" s="6">
        <v>15</v>
      </c>
      <c r="C109" s="41">
        <f>SollAZ!K20</f>
        <v>45397</v>
      </c>
      <c r="D109" s="53">
        <v>108</v>
      </c>
      <c r="E109" s="54">
        <f>SollAZ!L20</f>
        <v>8.4</v>
      </c>
    </row>
    <row r="110" spans="1:5" x14ac:dyDescent="0.25">
      <c r="A110" s="6">
        <v>4</v>
      </c>
      <c r="B110" s="6">
        <v>16</v>
      </c>
      <c r="C110" s="41">
        <f>SollAZ!K21</f>
        <v>45398</v>
      </c>
      <c r="D110" s="53">
        <v>109</v>
      </c>
      <c r="E110" s="54">
        <f>SollAZ!L21</f>
        <v>8.4</v>
      </c>
    </row>
    <row r="111" spans="1:5" x14ac:dyDescent="0.25">
      <c r="A111" s="6">
        <v>4</v>
      </c>
      <c r="B111" s="6">
        <v>17</v>
      </c>
      <c r="C111" s="41">
        <f>SollAZ!K22</f>
        <v>45399</v>
      </c>
      <c r="D111" s="53">
        <v>110</v>
      </c>
      <c r="E111" s="54">
        <f>SollAZ!L22</f>
        <v>8.4</v>
      </c>
    </row>
    <row r="112" spans="1:5" x14ac:dyDescent="0.25">
      <c r="A112" s="6">
        <v>4</v>
      </c>
      <c r="B112" s="6">
        <v>18</v>
      </c>
      <c r="C112" s="41">
        <f>SollAZ!K23</f>
        <v>45400</v>
      </c>
      <c r="D112" s="53">
        <v>111</v>
      </c>
      <c r="E112" s="54">
        <f>SollAZ!L23</f>
        <v>8.4</v>
      </c>
    </row>
    <row r="113" spans="1:5" x14ac:dyDescent="0.25">
      <c r="A113" s="6">
        <v>4</v>
      </c>
      <c r="B113" s="6">
        <v>19</v>
      </c>
      <c r="C113" s="41">
        <f>SollAZ!K24</f>
        <v>45401</v>
      </c>
      <c r="D113" s="53">
        <v>112</v>
      </c>
      <c r="E113" s="54">
        <f>SollAZ!L24</f>
        <v>8.4</v>
      </c>
    </row>
    <row r="114" spans="1:5" x14ac:dyDescent="0.25">
      <c r="A114" s="6">
        <v>4</v>
      </c>
      <c r="B114" s="6">
        <v>20</v>
      </c>
      <c r="C114" s="41">
        <f>SollAZ!K25</f>
        <v>45402</v>
      </c>
      <c r="D114" s="53">
        <v>113</v>
      </c>
      <c r="E114" s="54" t="str">
        <f>SollAZ!L25</f>
        <v/>
      </c>
    </row>
    <row r="115" spans="1:5" x14ac:dyDescent="0.25">
      <c r="A115" s="6">
        <v>4</v>
      </c>
      <c r="B115" s="6">
        <v>21</v>
      </c>
      <c r="C115" s="41">
        <f>SollAZ!K26</f>
        <v>45403</v>
      </c>
      <c r="D115" s="53">
        <v>114</v>
      </c>
      <c r="E115" s="54" t="str">
        <f>SollAZ!L26</f>
        <v/>
      </c>
    </row>
    <row r="116" spans="1:5" x14ac:dyDescent="0.25">
      <c r="A116" s="6">
        <v>4</v>
      </c>
      <c r="B116" s="6">
        <v>22</v>
      </c>
      <c r="C116" s="41">
        <f>SollAZ!K27</f>
        <v>45404</v>
      </c>
      <c r="D116" s="53">
        <v>115</v>
      </c>
      <c r="E116" s="54">
        <f>SollAZ!L27</f>
        <v>8.4</v>
      </c>
    </row>
    <row r="117" spans="1:5" x14ac:dyDescent="0.25">
      <c r="A117" s="6">
        <v>4</v>
      </c>
      <c r="B117" s="6">
        <v>23</v>
      </c>
      <c r="C117" s="41">
        <f>SollAZ!K28</f>
        <v>45405</v>
      </c>
      <c r="D117" s="53">
        <v>116</v>
      </c>
      <c r="E117" s="54">
        <f>SollAZ!L28</f>
        <v>8.4</v>
      </c>
    </row>
    <row r="118" spans="1:5" x14ac:dyDescent="0.25">
      <c r="A118" s="6">
        <v>4</v>
      </c>
      <c r="B118" s="6">
        <v>24</v>
      </c>
      <c r="C118" s="41">
        <f>SollAZ!K29</f>
        <v>45406</v>
      </c>
      <c r="D118" s="53">
        <v>117</v>
      </c>
      <c r="E118" s="54">
        <f>SollAZ!L29</f>
        <v>8.4</v>
      </c>
    </row>
    <row r="119" spans="1:5" x14ac:dyDescent="0.25">
      <c r="A119" s="6">
        <v>4</v>
      </c>
      <c r="B119" s="6">
        <v>25</v>
      </c>
      <c r="C119" s="41">
        <f>SollAZ!K30</f>
        <v>45407</v>
      </c>
      <c r="D119" s="53">
        <v>118</v>
      </c>
      <c r="E119" s="54">
        <f>SollAZ!L30</f>
        <v>8.4</v>
      </c>
    </row>
    <row r="120" spans="1:5" x14ac:dyDescent="0.25">
      <c r="A120" s="6">
        <v>4</v>
      </c>
      <c r="B120" s="6">
        <v>26</v>
      </c>
      <c r="C120" s="41">
        <f>SollAZ!K31</f>
        <v>45408</v>
      </c>
      <c r="D120" s="53">
        <v>119</v>
      </c>
      <c r="E120" s="54">
        <f>SollAZ!L31</f>
        <v>8.4</v>
      </c>
    </row>
    <row r="121" spans="1:5" x14ac:dyDescent="0.25">
      <c r="A121" s="6">
        <v>4</v>
      </c>
      <c r="B121" s="6">
        <v>27</v>
      </c>
      <c r="C121" s="41">
        <f>SollAZ!K32</f>
        <v>45409</v>
      </c>
      <c r="D121" s="53">
        <v>120</v>
      </c>
      <c r="E121" s="54" t="str">
        <f>SollAZ!L32</f>
        <v/>
      </c>
    </row>
    <row r="122" spans="1:5" x14ac:dyDescent="0.25">
      <c r="A122" s="6">
        <v>4</v>
      </c>
      <c r="B122" s="6">
        <v>28</v>
      </c>
      <c r="C122" s="41">
        <f>SollAZ!K33</f>
        <v>45410</v>
      </c>
      <c r="D122" s="53">
        <v>121</v>
      </c>
      <c r="E122" s="54" t="str">
        <f>SollAZ!L33</f>
        <v/>
      </c>
    </row>
    <row r="123" spans="1:5" x14ac:dyDescent="0.25">
      <c r="A123" s="6">
        <v>4</v>
      </c>
      <c r="B123" s="6">
        <v>29</v>
      </c>
      <c r="C123" s="41">
        <f>SollAZ!K34</f>
        <v>45411</v>
      </c>
      <c r="D123" s="53">
        <v>122</v>
      </c>
      <c r="E123" s="54">
        <f>SollAZ!L34</f>
        <v>8.4</v>
      </c>
    </row>
    <row r="124" spans="1:5" x14ac:dyDescent="0.25">
      <c r="A124" s="6">
        <v>4</v>
      </c>
      <c r="B124" s="6">
        <v>30</v>
      </c>
      <c r="C124" s="41">
        <f>SollAZ!K35</f>
        <v>45412</v>
      </c>
      <c r="D124" s="53">
        <v>123</v>
      </c>
      <c r="E124" s="54">
        <f>SollAZ!L35</f>
        <v>8.4</v>
      </c>
    </row>
    <row r="125" spans="1:5" x14ac:dyDescent="0.25">
      <c r="A125" s="6">
        <v>4</v>
      </c>
      <c r="B125" s="6">
        <v>31</v>
      </c>
      <c r="C125" s="41" t="str">
        <f>SollAZ!K36</f>
        <v/>
      </c>
      <c r="D125" s="53">
        <v>124</v>
      </c>
      <c r="E125" s="54" t="str">
        <f>SollAZ!L36</f>
        <v/>
      </c>
    </row>
    <row r="126" spans="1:5" x14ac:dyDescent="0.25">
      <c r="A126" s="6">
        <v>5</v>
      </c>
      <c r="B126" s="6">
        <v>1</v>
      </c>
      <c r="C126" s="41">
        <f>SollAZ!N6</f>
        <v>45413</v>
      </c>
      <c r="D126" s="53">
        <v>125</v>
      </c>
      <c r="E126" s="54">
        <f>SollAZ!O6</f>
        <v>4.2</v>
      </c>
    </row>
    <row r="127" spans="1:5" x14ac:dyDescent="0.25">
      <c r="A127" s="6">
        <v>5</v>
      </c>
      <c r="B127" s="6">
        <v>2</v>
      </c>
      <c r="C127" s="41">
        <f>SollAZ!N7</f>
        <v>45414</v>
      </c>
      <c r="D127" s="53">
        <v>126</v>
      </c>
      <c r="E127" s="54">
        <f>SollAZ!O7</f>
        <v>8.4</v>
      </c>
    </row>
    <row r="128" spans="1:5" x14ac:dyDescent="0.25">
      <c r="A128" s="6">
        <v>5</v>
      </c>
      <c r="B128" s="6">
        <v>3</v>
      </c>
      <c r="C128" s="41">
        <f>SollAZ!N8</f>
        <v>45415</v>
      </c>
      <c r="D128" s="53">
        <v>127</v>
      </c>
      <c r="E128" s="54">
        <f>SollAZ!O8</f>
        <v>8.4</v>
      </c>
    </row>
    <row r="129" spans="1:5" x14ac:dyDescent="0.25">
      <c r="A129" s="6">
        <v>5</v>
      </c>
      <c r="B129" s="6">
        <v>4</v>
      </c>
      <c r="C129" s="41">
        <f>SollAZ!N9</f>
        <v>45416</v>
      </c>
      <c r="D129" s="53">
        <v>128</v>
      </c>
      <c r="E129" s="54" t="str">
        <f>SollAZ!O9</f>
        <v/>
      </c>
    </row>
    <row r="130" spans="1:5" x14ac:dyDescent="0.25">
      <c r="A130" s="6">
        <v>5</v>
      </c>
      <c r="B130" s="6">
        <v>5</v>
      </c>
      <c r="C130" s="41">
        <f>SollAZ!N10</f>
        <v>45417</v>
      </c>
      <c r="D130" s="53">
        <v>129</v>
      </c>
      <c r="E130" s="54" t="str">
        <f>SollAZ!O10</f>
        <v/>
      </c>
    </row>
    <row r="131" spans="1:5" x14ac:dyDescent="0.25">
      <c r="A131" s="6">
        <v>5</v>
      </c>
      <c r="B131" s="6">
        <v>6</v>
      </c>
      <c r="C131" s="41">
        <f>SollAZ!N11</f>
        <v>45418</v>
      </c>
      <c r="D131" s="53">
        <v>130</v>
      </c>
      <c r="E131" s="54">
        <f>SollAZ!O11</f>
        <v>8.4</v>
      </c>
    </row>
    <row r="132" spans="1:5" x14ac:dyDescent="0.25">
      <c r="A132" s="6">
        <v>5</v>
      </c>
      <c r="B132" s="6">
        <v>7</v>
      </c>
      <c r="C132" s="41">
        <f>SollAZ!N12</f>
        <v>45419</v>
      </c>
      <c r="D132" s="53">
        <v>131</v>
      </c>
      <c r="E132" s="54">
        <f>SollAZ!O12</f>
        <v>8.4</v>
      </c>
    </row>
    <row r="133" spans="1:5" x14ac:dyDescent="0.25">
      <c r="A133" s="6">
        <v>5</v>
      </c>
      <c r="B133" s="6">
        <v>8</v>
      </c>
      <c r="C133" s="41">
        <f>SollAZ!N13</f>
        <v>45420</v>
      </c>
      <c r="D133" s="53">
        <v>132</v>
      </c>
      <c r="E133" s="54">
        <f>SollAZ!O13</f>
        <v>8.4</v>
      </c>
    </row>
    <row r="134" spans="1:5" x14ac:dyDescent="0.25">
      <c r="A134" s="6">
        <v>5</v>
      </c>
      <c r="B134" s="6">
        <v>9</v>
      </c>
      <c r="C134" s="41">
        <f>SollAZ!N14</f>
        <v>45421</v>
      </c>
      <c r="D134" s="53">
        <v>133</v>
      </c>
      <c r="E134" s="54" t="str">
        <f>SollAZ!O14</f>
        <v>Auffahrt</v>
      </c>
    </row>
    <row r="135" spans="1:5" x14ac:dyDescent="0.25">
      <c r="A135" s="6">
        <v>5</v>
      </c>
      <c r="B135" s="6">
        <v>10</v>
      </c>
      <c r="C135" s="41">
        <f>SollAZ!N15</f>
        <v>45422</v>
      </c>
      <c r="D135" s="53">
        <v>134</v>
      </c>
      <c r="E135" s="54">
        <f>SollAZ!O15</f>
        <v>8.4</v>
      </c>
    </row>
    <row r="136" spans="1:5" x14ac:dyDescent="0.25">
      <c r="A136" s="6">
        <v>5</v>
      </c>
      <c r="B136" s="6">
        <v>11</v>
      </c>
      <c r="C136" s="41">
        <f>SollAZ!N16</f>
        <v>45423</v>
      </c>
      <c r="D136" s="53">
        <v>135</v>
      </c>
      <c r="E136" s="54" t="str">
        <f>SollAZ!O16</f>
        <v/>
      </c>
    </row>
    <row r="137" spans="1:5" x14ac:dyDescent="0.25">
      <c r="A137" s="6">
        <v>5</v>
      </c>
      <c r="B137" s="6">
        <v>12</v>
      </c>
      <c r="C137" s="41">
        <f>SollAZ!N17</f>
        <v>45424</v>
      </c>
      <c r="D137" s="53">
        <v>136</v>
      </c>
      <c r="E137" s="54" t="str">
        <f>SollAZ!O17</f>
        <v/>
      </c>
    </row>
    <row r="138" spans="1:5" x14ac:dyDescent="0.25">
      <c r="A138" s="6">
        <v>5</v>
      </c>
      <c r="B138" s="6">
        <v>13</v>
      </c>
      <c r="C138" s="41">
        <f>SollAZ!N18</f>
        <v>45425</v>
      </c>
      <c r="D138" s="53">
        <v>137</v>
      </c>
      <c r="E138" s="54">
        <f>SollAZ!O18</f>
        <v>8.4</v>
      </c>
    </row>
    <row r="139" spans="1:5" x14ac:dyDescent="0.25">
      <c r="A139" s="6">
        <v>5</v>
      </c>
      <c r="B139" s="6">
        <v>14</v>
      </c>
      <c r="C139" s="41">
        <f>SollAZ!N19</f>
        <v>45426</v>
      </c>
      <c r="D139" s="53">
        <v>138</v>
      </c>
      <c r="E139" s="54">
        <f>SollAZ!O19</f>
        <v>8.4</v>
      </c>
    </row>
    <row r="140" spans="1:5" x14ac:dyDescent="0.25">
      <c r="A140" s="6">
        <v>5</v>
      </c>
      <c r="B140" s="6">
        <v>15</v>
      </c>
      <c r="C140" s="41">
        <f>SollAZ!N20</f>
        <v>45427</v>
      </c>
      <c r="D140" s="53">
        <v>139</v>
      </c>
      <c r="E140" s="54">
        <f>SollAZ!O20</f>
        <v>8.4</v>
      </c>
    </row>
    <row r="141" spans="1:5" x14ac:dyDescent="0.25">
      <c r="A141" s="6">
        <v>5</v>
      </c>
      <c r="B141" s="6">
        <v>16</v>
      </c>
      <c r="C141" s="41">
        <f>SollAZ!N21</f>
        <v>45428</v>
      </c>
      <c r="D141" s="53">
        <v>140</v>
      </c>
      <c r="E141" s="54">
        <f>SollAZ!O21</f>
        <v>8.4</v>
      </c>
    </row>
    <row r="142" spans="1:5" x14ac:dyDescent="0.25">
      <c r="A142" s="6">
        <v>5</v>
      </c>
      <c r="B142" s="6">
        <v>17</v>
      </c>
      <c r="C142" s="41">
        <f>SollAZ!N22</f>
        <v>45429</v>
      </c>
      <c r="D142" s="53">
        <v>141</v>
      </c>
      <c r="E142" s="54">
        <f>SollAZ!O22</f>
        <v>8.4</v>
      </c>
    </row>
    <row r="143" spans="1:5" x14ac:dyDescent="0.25">
      <c r="A143" s="6">
        <v>5</v>
      </c>
      <c r="B143" s="6">
        <v>18</v>
      </c>
      <c r="C143" s="41">
        <f>SollAZ!N23</f>
        <v>45430</v>
      </c>
      <c r="D143" s="53">
        <v>142</v>
      </c>
      <c r="E143" s="54" t="str">
        <f>SollAZ!O23</f>
        <v/>
      </c>
    </row>
    <row r="144" spans="1:5" x14ac:dyDescent="0.25">
      <c r="A144" s="6">
        <v>5</v>
      </c>
      <c r="B144" s="6">
        <v>19</v>
      </c>
      <c r="C144" s="41">
        <f>SollAZ!N24</f>
        <v>45431</v>
      </c>
      <c r="D144" s="53">
        <v>143</v>
      </c>
      <c r="E144" s="54" t="str">
        <f>SollAZ!O24</f>
        <v/>
      </c>
    </row>
    <row r="145" spans="1:5" x14ac:dyDescent="0.25">
      <c r="A145" s="6">
        <v>5</v>
      </c>
      <c r="B145" s="6">
        <v>20</v>
      </c>
      <c r="C145" s="41">
        <f>SollAZ!N25</f>
        <v>45432</v>
      </c>
      <c r="D145" s="53">
        <v>144</v>
      </c>
      <c r="E145" s="54" t="str">
        <f>SollAZ!O25</f>
        <v>Pfingstmontag</v>
      </c>
    </row>
    <row r="146" spans="1:5" x14ac:dyDescent="0.25">
      <c r="A146" s="6">
        <v>5</v>
      </c>
      <c r="B146" s="6">
        <v>21</v>
      </c>
      <c r="C146" s="41">
        <f>SollAZ!N26</f>
        <v>45433</v>
      </c>
      <c r="D146" s="53">
        <v>145</v>
      </c>
      <c r="E146" s="54">
        <f>SollAZ!O26</f>
        <v>8.4</v>
      </c>
    </row>
    <row r="147" spans="1:5" x14ac:dyDescent="0.25">
      <c r="A147" s="6">
        <v>5</v>
      </c>
      <c r="B147" s="6">
        <v>22</v>
      </c>
      <c r="C147" s="41">
        <f>SollAZ!N27</f>
        <v>45434</v>
      </c>
      <c r="D147" s="53">
        <v>146</v>
      </c>
      <c r="E147" s="54">
        <f>SollAZ!O27</f>
        <v>8.4</v>
      </c>
    </row>
    <row r="148" spans="1:5" x14ac:dyDescent="0.25">
      <c r="A148" s="6">
        <v>5</v>
      </c>
      <c r="B148" s="6">
        <v>23</v>
      </c>
      <c r="C148" s="41">
        <f>SollAZ!N28</f>
        <v>45435</v>
      </c>
      <c r="D148" s="53">
        <v>147</v>
      </c>
      <c r="E148" s="54">
        <f>SollAZ!O28</f>
        <v>8.4</v>
      </c>
    </row>
    <row r="149" spans="1:5" x14ac:dyDescent="0.25">
      <c r="A149" s="6">
        <v>5</v>
      </c>
      <c r="B149" s="6">
        <v>24</v>
      </c>
      <c r="C149" s="41">
        <f>SollAZ!N29</f>
        <v>45436</v>
      </c>
      <c r="D149" s="53">
        <v>148</v>
      </c>
      <c r="E149" s="54">
        <f>SollAZ!O29</f>
        <v>8.4</v>
      </c>
    </row>
    <row r="150" spans="1:5" x14ac:dyDescent="0.25">
      <c r="A150" s="6">
        <v>5</v>
      </c>
      <c r="B150" s="6">
        <v>25</v>
      </c>
      <c r="C150" s="41">
        <f>SollAZ!N30</f>
        <v>45437</v>
      </c>
      <c r="D150" s="53">
        <v>149</v>
      </c>
      <c r="E150" s="54" t="str">
        <f>SollAZ!O30</f>
        <v/>
      </c>
    </row>
    <row r="151" spans="1:5" x14ac:dyDescent="0.25">
      <c r="A151" s="6">
        <v>5</v>
      </c>
      <c r="B151" s="6">
        <v>26</v>
      </c>
      <c r="C151" s="41">
        <f>SollAZ!N31</f>
        <v>45438</v>
      </c>
      <c r="D151" s="53">
        <v>150</v>
      </c>
      <c r="E151" s="54" t="str">
        <f>SollAZ!O31</f>
        <v/>
      </c>
    </row>
    <row r="152" spans="1:5" x14ac:dyDescent="0.25">
      <c r="A152" s="6">
        <v>5</v>
      </c>
      <c r="B152" s="6">
        <v>27</v>
      </c>
      <c r="C152" s="41">
        <f>SollAZ!N32</f>
        <v>45439</v>
      </c>
      <c r="D152" s="53">
        <v>151</v>
      </c>
      <c r="E152" s="54">
        <f>SollAZ!O32</f>
        <v>8.4</v>
      </c>
    </row>
    <row r="153" spans="1:5" x14ac:dyDescent="0.25">
      <c r="A153" s="6">
        <v>5</v>
      </c>
      <c r="B153" s="6">
        <v>28</v>
      </c>
      <c r="C153" s="41">
        <f>SollAZ!N33</f>
        <v>45440</v>
      </c>
      <c r="D153" s="53">
        <v>152</v>
      </c>
      <c r="E153" s="54">
        <f>SollAZ!O33</f>
        <v>8.4</v>
      </c>
    </row>
    <row r="154" spans="1:5" x14ac:dyDescent="0.25">
      <c r="A154" s="6">
        <v>5</v>
      </c>
      <c r="B154" s="6">
        <v>29</v>
      </c>
      <c r="C154" s="41">
        <f>SollAZ!N34</f>
        <v>45441</v>
      </c>
      <c r="D154" s="53">
        <v>153</v>
      </c>
      <c r="E154" s="54">
        <f>SollAZ!O34</f>
        <v>8.4</v>
      </c>
    </row>
    <row r="155" spans="1:5" x14ac:dyDescent="0.25">
      <c r="A155" s="6">
        <v>5</v>
      </c>
      <c r="B155" s="6">
        <v>30</v>
      </c>
      <c r="C155" s="41">
        <f>SollAZ!N35</f>
        <v>45442</v>
      </c>
      <c r="D155" s="53">
        <v>154</v>
      </c>
      <c r="E155" s="54">
        <f>SollAZ!O35</f>
        <v>8.4</v>
      </c>
    </row>
    <row r="156" spans="1:5" x14ac:dyDescent="0.25">
      <c r="A156" s="6">
        <v>5</v>
      </c>
      <c r="B156" s="6">
        <v>31</v>
      </c>
      <c r="C156" s="41">
        <f>SollAZ!N36</f>
        <v>45443</v>
      </c>
      <c r="D156" s="53">
        <v>155</v>
      </c>
      <c r="E156" s="54">
        <f>SollAZ!O36</f>
        <v>8.4</v>
      </c>
    </row>
    <row r="157" spans="1:5" x14ac:dyDescent="0.25">
      <c r="A157" s="6">
        <v>6</v>
      </c>
      <c r="B157" s="6">
        <v>1</v>
      </c>
      <c r="C157" s="41">
        <f>SollAZ!Q6</f>
        <v>45444</v>
      </c>
      <c r="D157" s="53">
        <v>156</v>
      </c>
      <c r="E157" s="54" t="str">
        <f>SollAZ!R6</f>
        <v/>
      </c>
    </row>
    <row r="158" spans="1:5" x14ac:dyDescent="0.25">
      <c r="A158" s="6">
        <v>6</v>
      </c>
      <c r="B158" s="6">
        <v>2</v>
      </c>
      <c r="C158" s="41">
        <f>SollAZ!Q7</f>
        <v>45445</v>
      </c>
      <c r="D158" s="53">
        <v>157</v>
      </c>
      <c r="E158" s="54" t="str">
        <f>SollAZ!R7</f>
        <v/>
      </c>
    </row>
    <row r="159" spans="1:5" x14ac:dyDescent="0.25">
      <c r="A159" s="6">
        <v>6</v>
      </c>
      <c r="B159" s="6">
        <v>3</v>
      </c>
      <c r="C159" s="41">
        <f>SollAZ!Q8</f>
        <v>45446</v>
      </c>
      <c r="D159" s="53">
        <v>158</v>
      </c>
      <c r="E159" s="54">
        <f>SollAZ!R8</f>
        <v>8.4</v>
      </c>
    </row>
    <row r="160" spans="1:5" x14ac:dyDescent="0.25">
      <c r="A160" s="6">
        <v>6</v>
      </c>
      <c r="B160" s="6">
        <v>4</v>
      </c>
      <c r="C160" s="41">
        <f>SollAZ!Q9</f>
        <v>45447</v>
      </c>
      <c r="D160" s="53">
        <v>159</v>
      </c>
      <c r="E160" s="54">
        <f>SollAZ!R9</f>
        <v>8.4</v>
      </c>
    </row>
    <row r="161" spans="1:5" x14ac:dyDescent="0.25">
      <c r="A161" s="6">
        <v>6</v>
      </c>
      <c r="B161" s="6">
        <v>5</v>
      </c>
      <c r="C161" s="41">
        <f>SollAZ!Q10</f>
        <v>45448</v>
      </c>
      <c r="D161" s="53">
        <v>160</v>
      </c>
      <c r="E161" s="54">
        <f>SollAZ!R10</f>
        <v>8.4</v>
      </c>
    </row>
    <row r="162" spans="1:5" x14ac:dyDescent="0.25">
      <c r="A162" s="6">
        <v>6</v>
      </c>
      <c r="B162" s="6">
        <v>6</v>
      </c>
      <c r="C162" s="41">
        <f>SollAZ!Q11</f>
        <v>45449</v>
      </c>
      <c r="D162" s="53">
        <v>161</v>
      </c>
      <c r="E162" s="54">
        <f>SollAZ!R11</f>
        <v>8.4</v>
      </c>
    </row>
    <row r="163" spans="1:5" x14ac:dyDescent="0.25">
      <c r="A163" s="6">
        <v>6</v>
      </c>
      <c r="B163" s="6">
        <v>7</v>
      </c>
      <c r="C163" s="41">
        <f>SollAZ!Q12</f>
        <v>45450</v>
      </c>
      <c r="D163" s="53">
        <v>162</v>
      </c>
      <c r="E163" s="54">
        <f>SollAZ!R12</f>
        <v>8.4</v>
      </c>
    </row>
    <row r="164" spans="1:5" x14ac:dyDescent="0.25">
      <c r="A164" s="6">
        <v>6</v>
      </c>
      <c r="B164" s="6">
        <v>8</v>
      </c>
      <c r="C164" s="41">
        <f>SollAZ!Q13</f>
        <v>45451</v>
      </c>
      <c r="D164" s="53">
        <v>163</v>
      </c>
      <c r="E164" s="54" t="str">
        <f>SollAZ!R13</f>
        <v/>
      </c>
    </row>
    <row r="165" spans="1:5" x14ac:dyDescent="0.25">
      <c r="A165" s="6">
        <v>6</v>
      </c>
      <c r="B165" s="6">
        <v>9</v>
      </c>
      <c r="C165" s="41">
        <f>SollAZ!Q14</f>
        <v>45452</v>
      </c>
      <c r="D165" s="53">
        <v>164</v>
      </c>
      <c r="E165" s="54" t="str">
        <f>SollAZ!R14</f>
        <v/>
      </c>
    </row>
    <row r="166" spans="1:5" x14ac:dyDescent="0.25">
      <c r="A166" s="6">
        <v>6</v>
      </c>
      <c r="B166" s="6">
        <v>10</v>
      </c>
      <c r="C166" s="41">
        <f>SollAZ!Q15</f>
        <v>45453</v>
      </c>
      <c r="D166" s="53">
        <v>165</v>
      </c>
      <c r="E166" s="54">
        <f>SollAZ!R15</f>
        <v>8.4</v>
      </c>
    </row>
    <row r="167" spans="1:5" x14ac:dyDescent="0.25">
      <c r="A167" s="6">
        <v>6</v>
      </c>
      <c r="B167" s="6">
        <v>11</v>
      </c>
      <c r="C167" s="41">
        <f>SollAZ!Q16</f>
        <v>45454</v>
      </c>
      <c r="D167" s="53">
        <v>166</v>
      </c>
      <c r="E167" s="54">
        <f>SollAZ!R16</f>
        <v>8.4</v>
      </c>
    </row>
    <row r="168" spans="1:5" x14ac:dyDescent="0.25">
      <c r="A168" s="6">
        <v>6</v>
      </c>
      <c r="B168" s="6">
        <v>12</v>
      </c>
      <c r="C168" s="41">
        <f>SollAZ!Q17</f>
        <v>45455</v>
      </c>
      <c r="D168" s="53">
        <v>167</v>
      </c>
      <c r="E168" s="54">
        <f>SollAZ!R17</f>
        <v>8.4</v>
      </c>
    </row>
    <row r="169" spans="1:5" x14ac:dyDescent="0.25">
      <c r="A169" s="6">
        <v>6</v>
      </c>
      <c r="B169" s="6">
        <v>13</v>
      </c>
      <c r="C169" s="41">
        <f>SollAZ!Q18</f>
        <v>45456</v>
      </c>
      <c r="D169" s="53">
        <v>168</v>
      </c>
      <c r="E169" s="54">
        <f>SollAZ!R18</f>
        <v>8.4</v>
      </c>
    </row>
    <row r="170" spans="1:5" x14ac:dyDescent="0.25">
      <c r="A170" s="6">
        <v>6</v>
      </c>
      <c r="B170" s="6">
        <v>14</v>
      </c>
      <c r="C170" s="41">
        <f>SollAZ!Q19</f>
        <v>45457</v>
      </c>
      <c r="D170" s="53">
        <v>169</v>
      </c>
      <c r="E170" s="54">
        <f>SollAZ!R19</f>
        <v>8.4</v>
      </c>
    </row>
    <row r="171" spans="1:5" x14ac:dyDescent="0.25">
      <c r="A171" s="6">
        <v>6</v>
      </c>
      <c r="B171" s="6">
        <v>15</v>
      </c>
      <c r="C171" s="41">
        <f>SollAZ!Q20</f>
        <v>45458</v>
      </c>
      <c r="D171" s="53">
        <v>170</v>
      </c>
      <c r="E171" s="54" t="str">
        <f>SollAZ!R20</f>
        <v/>
      </c>
    </row>
    <row r="172" spans="1:5" x14ac:dyDescent="0.25">
      <c r="A172" s="6">
        <v>6</v>
      </c>
      <c r="B172" s="6">
        <v>16</v>
      </c>
      <c r="C172" s="41">
        <f>SollAZ!Q21</f>
        <v>45459</v>
      </c>
      <c r="D172" s="53">
        <v>171</v>
      </c>
      <c r="E172" s="54" t="str">
        <f>SollAZ!R21</f>
        <v/>
      </c>
    </row>
    <row r="173" spans="1:5" x14ac:dyDescent="0.25">
      <c r="A173" s="6">
        <v>6</v>
      </c>
      <c r="B173" s="6">
        <v>17</v>
      </c>
      <c r="C173" s="41">
        <f>SollAZ!Q22</f>
        <v>45460</v>
      </c>
      <c r="D173" s="53">
        <v>172</v>
      </c>
      <c r="E173" s="54">
        <f>SollAZ!R22</f>
        <v>8.4</v>
      </c>
    </row>
    <row r="174" spans="1:5" x14ac:dyDescent="0.25">
      <c r="A174" s="6">
        <v>6</v>
      </c>
      <c r="B174" s="6">
        <v>18</v>
      </c>
      <c r="C174" s="41">
        <f>SollAZ!Q23</f>
        <v>45461</v>
      </c>
      <c r="D174" s="53">
        <v>173</v>
      </c>
      <c r="E174" s="54">
        <f>SollAZ!R23</f>
        <v>8.4</v>
      </c>
    </row>
    <row r="175" spans="1:5" x14ac:dyDescent="0.25">
      <c r="A175" s="6">
        <v>6</v>
      </c>
      <c r="B175" s="6">
        <v>19</v>
      </c>
      <c r="C175" s="41">
        <f>SollAZ!Q24</f>
        <v>45462</v>
      </c>
      <c r="D175" s="53">
        <v>174</v>
      </c>
      <c r="E175" s="54">
        <f>SollAZ!R24</f>
        <v>8.4</v>
      </c>
    </row>
    <row r="176" spans="1:5" x14ac:dyDescent="0.25">
      <c r="A176" s="6">
        <v>6</v>
      </c>
      <c r="B176" s="6">
        <v>20</v>
      </c>
      <c r="C176" s="41">
        <f>SollAZ!Q25</f>
        <v>45463</v>
      </c>
      <c r="D176" s="53">
        <v>175</v>
      </c>
      <c r="E176" s="54">
        <f>SollAZ!R25</f>
        <v>8.4</v>
      </c>
    </row>
    <row r="177" spans="1:5" x14ac:dyDescent="0.25">
      <c r="A177" s="6">
        <v>6</v>
      </c>
      <c r="B177" s="6">
        <v>21</v>
      </c>
      <c r="C177" s="41">
        <f>SollAZ!Q26</f>
        <v>45464</v>
      </c>
      <c r="D177" s="53">
        <v>176</v>
      </c>
      <c r="E177" s="54">
        <f>SollAZ!R26</f>
        <v>8.4</v>
      </c>
    </row>
    <row r="178" spans="1:5" x14ac:dyDescent="0.25">
      <c r="A178" s="6">
        <v>6</v>
      </c>
      <c r="B178" s="6">
        <v>22</v>
      </c>
      <c r="C178" s="41">
        <f>SollAZ!Q27</f>
        <v>45465</v>
      </c>
      <c r="D178" s="53">
        <v>177</v>
      </c>
      <c r="E178" s="54" t="str">
        <f>SollAZ!R27</f>
        <v/>
      </c>
    </row>
    <row r="179" spans="1:5" x14ac:dyDescent="0.25">
      <c r="A179" s="6">
        <v>6</v>
      </c>
      <c r="B179" s="6">
        <v>23</v>
      </c>
      <c r="C179" s="41">
        <f>SollAZ!Q28</f>
        <v>45466</v>
      </c>
      <c r="D179" s="53">
        <v>178</v>
      </c>
      <c r="E179" s="54" t="str">
        <f>SollAZ!R28</f>
        <v/>
      </c>
    </row>
    <row r="180" spans="1:5" x14ac:dyDescent="0.25">
      <c r="A180" s="6">
        <v>6</v>
      </c>
      <c r="B180" s="6">
        <v>24</v>
      </c>
      <c r="C180" s="41">
        <f>SollAZ!Q29</f>
        <v>45467</v>
      </c>
      <c r="D180" s="53">
        <v>179</v>
      </c>
      <c r="E180" s="54">
        <f>SollAZ!R29</f>
        <v>8.4</v>
      </c>
    </row>
    <row r="181" spans="1:5" x14ac:dyDescent="0.25">
      <c r="A181" s="6">
        <v>6</v>
      </c>
      <c r="B181" s="6">
        <v>25</v>
      </c>
      <c r="C181" s="41">
        <f>SollAZ!Q30</f>
        <v>45468</v>
      </c>
      <c r="D181" s="53">
        <v>180</v>
      </c>
      <c r="E181" s="54">
        <f>SollAZ!R30</f>
        <v>8.4</v>
      </c>
    </row>
    <row r="182" spans="1:5" x14ac:dyDescent="0.25">
      <c r="A182" s="6">
        <v>6</v>
      </c>
      <c r="B182" s="6">
        <v>26</v>
      </c>
      <c r="C182" s="41">
        <f>SollAZ!Q31</f>
        <v>45469</v>
      </c>
      <c r="D182" s="53">
        <v>181</v>
      </c>
      <c r="E182" s="54">
        <f>SollAZ!R31</f>
        <v>8.4</v>
      </c>
    </row>
    <row r="183" spans="1:5" x14ac:dyDescent="0.25">
      <c r="A183" s="6">
        <v>6</v>
      </c>
      <c r="B183" s="6">
        <v>27</v>
      </c>
      <c r="C183" s="41">
        <f>SollAZ!Q32</f>
        <v>45470</v>
      </c>
      <c r="D183" s="53">
        <v>182</v>
      </c>
      <c r="E183" s="54">
        <f>SollAZ!R32</f>
        <v>8.4</v>
      </c>
    </row>
    <row r="184" spans="1:5" x14ac:dyDescent="0.25">
      <c r="A184" s="6">
        <v>6</v>
      </c>
      <c r="B184" s="6">
        <v>28</v>
      </c>
      <c r="C184" s="41">
        <f>SollAZ!Q33</f>
        <v>45471</v>
      </c>
      <c r="D184" s="53">
        <v>183</v>
      </c>
      <c r="E184" s="54">
        <f>SollAZ!R33</f>
        <v>8.4</v>
      </c>
    </row>
    <row r="185" spans="1:5" x14ac:dyDescent="0.25">
      <c r="A185" s="6">
        <v>6</v>
      </c>
      <c r="B185" s="6">
        <v>29</v>
      </c>
      <c r="C185" s="41">
        <f>SollAZ!Q34</f>
        <v>45472</v>
      </c>
      <c r="D185" s="53">
        <v>184</v>
      </c>
      <c r="E185" s="54" t="str">
        <f>SollAZ!R34</f>
        <v/>
      </c>
    </row>
    <row r="186" spans="1:5" x14ac:dyDescent="0.25">
      <c r="A186" s="6">
        <v>6</v>
      </c>
      <c r="B186" s="6">
        <v>30</v>
      </c>
      <c r="C186" s="41">
        <f>SollAZ!Q35</f>
        <v>45473</v>
      </c>
      <c r="D186" s="53">
        <v>185</v>
      </c>
      <c r="E186" s="54" t="str">
        <f>SollAZ!R35</f>
        <v/>
      </c>
    </row>
    <row r="187" spans="1:5" x14ac:dyDescent="0.25">
      <c r="A187" s="6">
        <v>6</v>
      </c>
      <c r="B187" s="6">
        <v>31</v>
      </c>
      <c r="C187" s="41" t="str">
        <f>SollAZ!Q36</f>
        <v/>
      </c>
      <c r="D187" s="53">
        <v>186</v>
      </c>
      <c r="E187" s="54" t="str">
        <f>SollAZ!R36</f>
        <v/>
      </c>
    </row>
    <row r="188" spans="1:5" x14ac:dyDescent="0.25">
      <c r="A188" s="6">
        <v>7</v>
      </c>
      <c r="B188" s="6">
        <v>1</v>
      </c>
      <c r="C188" s="41">
        <f>SollAZ!B42</f>
        <v>45474</v>
      </c>
      <c r="D188" s="53">
        <v>187</v>
      </c>
      <c r="E188" s="54">
        <f>SollAZ!C42</f>
        <v>8.4</v>
      </c>
    </row>
    <row r="189" spans="1:5" x14ac:dyDescent="0.25">
      <c r="A189" s="6">
        <v>7</v>
      </c>
      <c r="B189" s="6">
        <v>2</v>
      </c>
      <c r="C189" s="41">
        <f>SollAZ!B43</f>
        <v>45475</v>
      </c>
      <c r="D189" s="53">
        <v>188</v>
      </c>
      <c r="E189" s="54">
        <f>SollAZ!C43</f>
        <v>8.4</v>
      </c>
    </row>
    <row r="190" spans="1:5" x14ac:dyDescent="0.25">
      <c r="A190" s="6">
        <v>7</v>
      </c>
      <c r="B190" s="6">
        <v>3</v>
      </c>
      <c r="C190" s="41">
        <f>SollAZ!B44</f>
        <v>45476</v>
      </c>
      <c r="D190" s="53">
        <v>189</v>
      </c>
      <c r="E190" s="54">
        <f>SollAZ!C44</f>
        <v>8.4</v>
      </c>
    </row>
    <row r="191" spans="1:5" x14ac:dyDescent="0.25">
      <c r="A191" s="6">
        <v>7</v>
      </c>
      <c r="B191" s="6">
        <v>4</v>
      </c>
      <c r="C191" s="41">
        <f>SollAZ!B45</f>
        <v>45477</v>
      </c>
      <c r="D191" s="53">
        <v>190</v>
      </c>
      <c r="E191" s="54">
        <f>SollAZ!C45</f>
        <v>8.4</v>
      </c>
    </row>
    <row r="192" spans="1:5" x14ac:dyDescent="0.25">
      <c r="A192" s="6">
        <v>7</v>
      </c>
      <c r="B192" s="6">
        <v>5</v>
      </c>
      <c r="C192" s="41">
        <f>SollAZ!B46</f>
        <v>45478</v>
      </c>
      <c r="D192" s="53">
        <v>191</v>
      </c>
      <c r="E192" s="54">
        <f>SollAZ!C46</f>
        <v>8.4</v>
      </c>
    </row>
    <row r="193" spans="1:5" x14ac:dyDescent="0.25">
      <c r="A193" s="6">
        <v>7</v>
      </c>
      <c r="B193" s="6">
        <v>6</v>
      </c>
      <c r="C193" s="41">
        <f>SollAZ!B47</f>
        <v>45479</v>
      </c>
      <c r="D193" s="53">
        <v>192</v>
      </c>
      <c r="E193" s="54" t="str">
        <f>SollAZ!C47</f>
        <v/>
      </c>
    </row>
    <row r="194" spans="1:5" x14ac:dyDescent="0.25">
      <c r="A194" s="6">
        <v>7</v>
      </c>
      <c r="B194" s="6">
        <v>7</v>
      </c>
      <c r="C194" s="41">
        <f>SollAZ!B48</f>
        <v>45480</v>
      </c>
      <c r="D194" s="53">
        <v>193</v>
      </c>
      <c r="E194" s="54" t="str">
        <f>SollAZ!C48</f>
        <v/>
      </c>
    </row>
    <row r="195" spans="1:5" x14ac:dyDescent="0.25">
      <c r="A195" s="6">
        <v>7</v>
      </c>
      <c r="B195" s="6">
        <v>8</v>
      </c>
      <c r="C195" s="41">
        <f>SollAZ!B49</f>
        <v>45481</v>
      </c>
      <c r="D195" s="53">
        <v>194</v>
      </c>
      <c r="E195" s="54">
        <f>SollAZ!C49</f>
        <v>8.4</v>
      </c>
    </row>
    <row r="196" spans="1:5" x14ac:dyDescent="0.25">
      <c r="A196" s="6">
        <v>7</v>
      </c>
      <c r="B196" s="6">
        <v>9</v>
      </c>
      <c r="C196" s="41">
        <f>SollAZ!B50</f>
        <v>45482</v>
      </c>
      <c r="D196" s="53">
        <v>195</v>
      </c>
      <c r="E196" s="54">
        <f>SollAZ!C50</f>
        <v>8.4</v>
      </c>
    </row>
    <row r="197" spans="1:5" x14ac:dyDescent="0.25">
      <c r="A197" s="6">
        <v>7</v>
      </c>
      <c r="B197" s="6">
        <v>10</v>
      </c>
      <c r="C197" s="41">
        <f>SollAZ!B51</f>
        <v>45483</v>
      </c>
      <c r="D197" s="53">
        <v>196</v>
      </c>
      <c r="E197" s="54">
        <f>SollAZ!C51</f>
        <v>8.4</v>
      </c>
    </row>
    <row r="198" spans="1:5" x14ac:dyDescent="0.25">
      <c r="A198" s="6">
        <v>7</v>
      </c>
      <c r="B198" s="6">
        <v>11</v>
      </c>
      <c r="C198" s="41">
        <f>SollAZ!B52</f>
        <v>45484</v>
      </c>
      <c r="D198" s="53">
        <v>197</v>
      </c>
      <c r="E198" s="54">
        <f>SollAZ!C52</f>
        <v>8.4</v>
      </c>
    </row>
    <row r="199" spans="1:5" x14ac:dyDescent="0.25">
      <c r="A199" s="6">
        <v>7</v>
      </c>
      <c r="B199" s="6">
        <v>12</v>
      </c>
      <c r="C199" s="41">
        <f>SollAZ!B53</f>
        <v>45485</v>
      </c>
      <c r="D199" s="53">
        <v>198</v>
      </c>
      <c r="E199" s="54">
        <f>SollAZ!C53</f>
        <v>8.4</v>
      </c>
    </row>
    <row r="200" spans="1:5" x14ac:dyDescent="0.25">
      <c r="A200" s="6">
        <v>7</v>
      </c>
      <c r="B200" s="6">
        <v>13</v>
      </c>
      <c r="C200" s="41">
        <f>SollAZ!B54</f>
        <v>45486</v>
      </c>
      <c r="D200" s="53">
        <v>199</v>
      </c>
      <c r="E200" s="54" t="str">
        <f>SollAZ!C54</f>
        <v/>
      </c>
    </row>
    <row r="201" spans="1:5" x14ac:dyDescent="0.25">
      <c r="A201" s="6">
        <v>7</v>
      </c>
      <c r="B201" s="6">
        <v>14</v>
      </c>
      <c r="C201" s="41">
        <f>SollAZ!B55</f>
        <v>45487</v>
      </c>
      <c r="D201" s="53">
        <v>200</v>
      </c>
      <c r="E201" s="54" t="str">
        <f>SollAZ!C55</f>
        <v/>
      </c>
    </row>
    <row r="202" spans="1:5" x14ac:dyDescent="0.25">
      <c r="A202" s="6">
        <v>7</v>
      </c>
      <c r="B202" s="6">
        <v>15</v>
      </c>
      <c r="C202" s="41">
        <f>SollAZ!B56</f>
        <v>45488</v>
      </c>
      <c r="D202" s="53">
        <v>201</v>
      </c>
      <c r="E202" s="54">
        <f>SollAZ!C56</f>
        <v>8.4</v>
      </c>
    </row>
    <row r="203" spans="1:5" x14ac:dyDescent="0.25">
      <c r="A203" s="6">
        <v>7</v>
      </c>
      <c r="B203" s="6">
        <v>16</v>
      </c>
      <c r="C203" s="41">
        <f>SollAZ!B57</f>
        <v>45489</v>
      </c>
      <c r="D203" s="53">
        <v>202</v>
      </c>
      <c r="E203" s="54">
        <f>SollAZ!C57</f>
        <v>8.4</v>
      </c>
    </row>
    <row r="204" spans="1:5" x14ac:dyDescent="0.25">
      <c r="A204" s="6">
        <v>7</v>
      </c>
      <c r="B204" s="6">
        <v>17</v>
      </c>
      <c r="C204" s="41">
        <f>SollAZ!B58</f>
        <v>45490</v>
      </c>
      <c r="D204" s="53">
        <v>203</v>
      </c>
      <c r="E204" s="54">
        <f>SollAZ!C58</f>
        <v>8.4</v>
      </c>
    </row>
    <row r="205" spans="1:5" x14ac:dyDescent="0.25">
      <c r="A205" s="6">
        <v>7</v>
      </c>
      <c r="B205" s="6">
        <v>18</v>
      </c>
      <c r="C205" s="41">
        <f>SollAZ!B59</f>
        <v>45491</v>
      </c>
      <c r="D205" s="53">
        <v>204</v>
      </c>
      <c r="E205" s="54">
        <f>SollAZ!C59</f>
        <v>8.4</v>
      </c>
    </row>
    <row r="206" spans="1:5" x14ac:dyDescent="0.25">
      <c r="A206" s="6">
        <v>7</v>
      </c>
      <c r="B206" s="6">
        <v>19</v>
      </c>
      <c r="C206" s="41">
        <f>SollAZ!B60</f>
        <v>45492</v>
      </c>
      <c r="D206" s="53">
        <v>205</v>
      </c>
      <c r="E206" s="54">
        <f>SollAZ!C60</f>
        <v>8.4</v>
      </c>
    </row>
    <row r="207" spans="1:5" x14ac:dyDescent="0.25">
      <c r="A207" s="6">
        <v>7</v>
      </c>
      <c r="B207" s="6">
        <v>20</v>
      </c>
      <c r="C207" s="41">
        <f>SollAZ!B61</f>
        <v>45493</v>
      </c>
      <c r="D207" s="53">
        <v>206</v>
      </c>
      <c r="E207" s="54" t="str">
        <f>SollAZ!C61</f>
        <v/>
      </c>
    </row>
    <row r="208" spans="1:5" x14ac:dyDescent="0.25">
      <c r="A208" s="6">
        <v>7</v>
      </c>
      <c r="B208" s="6">
        <v>21</v>
      </c>
      <c r="C208" s="41">
        <f>SollAZ!B62</f>
        <v>45494</v>
      </c>
      <c r="D208" s="53">
        <v>207</v>
      </c>
      <c r="E208" s="54" t="str">
        <f>SollAZ!C62</f>
        <v/>
      </c>
    </row>
    <row r="209" spans="1:5" x14ac:dyDescent="0.25">
      <c r="A209" s="6">
        <v>7</v>
      </c>
      <c r="B209" s="6">
        <v>22</v>
      </c>
      <c r="C209" s="41">
        <f>SollAZ!B63</f>
        <v>45495</v>
      </c>
      <c r="D209" s="53">
        <v>208</v>
      </c>
      <c r="E209" s="54">
        <f>SollAZ!C63</f>
        <v>8.4</v>
      </c>
    </row>
    <row r="210" spans="1:5" x14ac:dyDescent="0.25">
      <c r="A210" s="6">
        <v>7</v>
      </c>
      <c r="B210" s="6">
        <v>23</v>
      </c>
      <c r="C210" s="41">
        <f>SollAZ!B64</f>
        <v>45496</v>
      </c>
      <c r="D210" s="53">
        <v>209</v>
      </c>
      <c r="E210" s="54">
        <f>SollAZ!C64</f>
        <v>8.4</v>
      </c>
    </row>
    <row r="211" spans="1:5" x14ac:dyDescent="0.25">
      <c r="A211" s="6">
        <v>7</v>
      </c>
      <c r="B211" s="6">
        <v>24</v>
      </c>
      <c r="C211" s="41">
        <f>SollAZ!B65</f>
        <v>45497</v>
      </c>
      <c r="D211" s="53">
        <v>210</v>
      </c>
      <c r="E211" s="54">
        <f>SollAZ!C65</f>
        <v>8.4</v>
      </c>
    </row>
    <row r="212" spans="1:5" x14ac:dyDescent="0.25">
      <c r="A212" s="6">
        <v>7</v>
      </c>
      <c r="B212" s="6">
        <v>25</v>
      </c>
      <c r="C212" s="41">
        <f>SollAZ!B66</f>
        <v>45498</v>
      </c>
      <c r="D212" s="53">
        <v>211</v>
      </c>
      <c r="E212" s="54">
        <f>SollAZ!C66</f>
        <v>8.4</v>
      </c>
    </row>
    <row r="213" spans="1:5" x14ac:dyDescent="0.25">
      <c r="A213" s="6">
        <v>7</v>
      </c>
      <c r="B213" s="6">
        <v>26</v>
      </c>
      <c r="C213" s="41">
        <f>SollAZ!B67</f>
        <v>45499</v>
      </c>
      <c r="D213" s="53">
        <v>212</v>
      </c>
      <c r="E213" s="54">
        <f>SollAZ!C67</f>
        <v>8.4</v>
      </c>
    </row>
    <row r="214" spans="1:5" x14ac:dyDescent="0.25">
      <c r="A214" s="6">
        <v>7</v>
      </c>
      <c r="B214" s="6">
        <v>27</v>
      </c>
      <c r="C214" s="41">
        <f>SollAZ!B68</f>
        <v>45500</v>
      </c>
      <c r="D214" s="53">
        <v>213</v>
      </c>
      <c r="E214" s="54" t="str">
        <f>SollAZ!C68</f>
        <v/>
      </c>
    </row>
    <row r="215" spans="1:5" x14ac:dyDescent="0.25">
      <c r="A215" s="6">
        <v>7</v>
      </c>
      <c r="B215" s="6">
        <v>28</v>
      </c>
      <c r="C215" s="41">
        <f>SollAZ!B69</f>
        <v>45501</v>
      </c>
      <c r="D215" s="53">
        <v>214</v>
      </c>
      <c r="E215" s="54" t="str">
        <f>SollAZ!C69</f>
        <v/>
      </c>
    </row>
    <row r="216" spans="1:5" x14ac:dyDescent="0.25">
      <c r="A216" s="6">
        <v>7</v>
      </c>
      <c r="B216" s="6">
        <v>29</v>
      </c>
      <c r="C216" s="41">
        <f>SollAZ!B70</f>
        <v>45502</v>
      </c>
      <c r="D216" s="53">
        <v>215</v>
      </c>
      <c r="E216" s="54">
        <f>SollAZ!C70</f>
        <v>8.4</v>
      </c>
    </row>
    <row r="217" spans="1:5" x14ac:dyDescent="0.25">
      <c r="A217" s="6">
        <v>7</v>
      </c>
      <c r="B217" s="6">
        <v>30</v>
      </c>
      <c r="C217" s="41">
        <f>SollAZ!B71</f>
        <v>45503</v>
      </c>
      <c r="D217" s="53">
        <v>216</v>
      </c>
      <c r="E217" s="54">
        <f>SollAZ!C71</f>
        <v>8.4</v>
      </c>
    </row>
    <row r="218" spans="1:5" x14ac:dyDescent="0.25">
      <c r="A218" s="6">
        <v>7</v>
      </c>
      <c r="B218" s="6">
        <v>31</v>
      </c>
      <c r="C218" s="41">
        <f>SollAZ!B72</f>
        <v>45504</v>
      </c>
      <c r="D218" s="53">
        <v>217</v>
      </c>
      <c r="E218" s="54">
        <f>SollAZ!C72</f>
        <v>8.4</v>
      </c>
    </row>
    <row r="219" spans="1:5" x14ac:dyDescent="0.25">
      <c r="A219" s="6">
        <v>8</v>
      </c>
      <c r="B219" s="6">
        <v>1</v>
      </c>
      <c r="C219" s="41">
        <f>SollAZ!E42</f>
        <v>45505</v>
      </c>
      <c r="D219" s="53">
        <v>218</v>
      </c>
      <c r="E219" s="54" t="str">
        <f>SollAZ!F42</f>
        <v>Nat. Feiertag</v>
      </c>
    </row>
    <row r="220" spans="1:5" x14ac:dyDescent="0.25">
      <c r="A220" s="6">
        <v>8</v>
      </c>
      <c r="B220" s="6">
        <v>2</v>
      </c>
      <c r="C220" s="41">
        <f>SollAZ!E43</f>
        <v>45506</v>
      </c>
      <c r="D220" s="53">
        <v>219</v>
      </c>
      <c r="E220" s="54">
        <f>SollAZ!F43</f>
        <v>8.4</v>
      </c>
    </row>
    <row r="221" spans="1:5" x14ac:dyDescent="0.25">
      <c r="A221" s="6">
        <v>8</v>
      </c>
      <c r="B221" s="6">
        <v>3</v>
      </c>
      <c r="C221" s="41">
        <f>SollAZ!E44</f>
        <v>45507</v>
      </c>
      <c r="D221" s="53">
        <v>220</v>
      </c>
      <c r="E221" s="54" t="str">
        <f>SollAZ!F44</f>
        <v/>
      </c>
    </row>
    <row r="222" spans="1:5" x14ac:dyDescent="0.25">
      <c r="A222" s="6">
        <v>8</v>
      </c>
      <c r="B222" s="6">
        <v>4</v>
      </c>
      <c r="C222" s="41">
        <f>SollAZ!E45</f>
        <v>45508</v>
      </c>
      <c r="D222" s="53">
        <v>221</v>
      </c>
      <c r="E222" s="54" t="str">
        <f>SollAZ!F45</f>
        <v/>
      </c>
    </row>
    <row r="223" spans="1:5" x14ac:dyDescent="0.25">
      <c r="A223" s="6">
        <v>8</v>
      </c>
      <c r="B223" s="6">
        <v>5</v>
      </c>
      <c r="C223" s="41">
        <f>SollAZ!E46</f>
        <v>45509</v>
      </c>
      <c r="D223" s="53">
        <v>222</v>
      </c>
      <c r="E223" s="54">
        <f>SollAZ!F46</f>
        <v>8.4</v>
      </c>
    </row>
    <row r="224" spans="1:5" x14ac:dyDescent="0.25">
      <c r="A224" s="6">
        <v>8</v>
      </c>
      <c r="B224" s="6">
        <v>6</v>
      </c>
      <c r="C224" s="41">
        <f>SollAZ!E47</f>
        <v>45510</v>
      </c>
      <c r="D224" s="53">
        <v>223</v>
      </c>
      <c r="E224" s="54">
        <f>SollAZ!F47</f>
        <v>8.4</v>
      </c>
    </row>
    <row r="225" spans="1:5" x14ac:dyDescent="0.25">
      <c r="A225" s="6">
        <v>8</v>
      </c>
      <c r="B225" s="6">
        <v>7</v>
      </c>
      <c r="C225" s="41">
        <f>SollAZ!E48</f>
        <v>45511</v>
      </c>
      <c r="D225" s="53">
        <v>224</v>
      </c>
      <c r="E225" s="54">
        <f>SollAZ!F48</f>
        <v>8.4</v>
      </c>
    </row>
    <row r="226" spans="1:5" x14ac:dyDescent="0.25">
      <c r="A226" s="6">
        <v>8</v>
      </c>
      <c r="B226" s="6">
        <v>8</v>
      </c>
      <c r="C226" s="41">
        <f>SollAZ!E49</f>
        <v>45512</v>
      </c>
      <c r="D226" s="53">
        <v>225</v>
      </c>
      <c r="E226" s="54">
        <f>SollAZ!F49</f>
        <v>8.4</v>
      </c>
    </row>
    <row r="227" spans="1:5" x14ac:dyDescent="0.25">
      <c r="A227" s="6">
        <v>8</v>
      </c>
      <c r="B227" s="6">
        <v>9</v>
      </c>
      <c r="C227" s="41">
        <f>SollAZ!E50</f>
        <v>45513</v>
      </c>
      <c r="D227" s="53">
        <v>226</v>
      </c>
      <c r="E227" s="54">
        <f>SollAZ!F50</f>
        <v>8.4</v>
      </c>
    </row>
    <row r="228" spans="1:5" x14ac:dyDescent="0.25">
      <c r="A228" s="6">
        <v>8</v>
      </c>
      <c r="B228" s="6">
        <v>10</v>
      </c>
      <c r="C228" s="41">
        <f>SollAZ!E51</f>
        <v>45514</v>
      </c>
      <c r="D228" s="53">
        <v>227</v>
      </c>
      <c r="E228" s="54" t="str">
        <f>SollAZ!F51</f>
        <v/>
      </c>
    </row>
    <row r="229" spans="1:5" x14ac:dyDescent="0.25">
      <c r="A229" s="6">
        <v>8</v>
      </c>
      <c r="B229" s="6">
        <v>11</v>
      </c>
      <c r="C229" s="41">
        <f>SollAZ!E52</f>
        <v>45515</v>
      </c>
      <c r="D229" s="53">
        <v>228</v>
      </c>
      <c r="E229" s="54" t="str">
        <f>SollAZ!F52</f>
        <v/>
      </c>
    </row>
    <row r="230" spans="1:5" x14ac:dyDescent="0.25">
      <c r="A230" s="6">
        <v>8</v>
      </c>
      <c r="B230" s="6">
        <v>12</v>
      </c>
      <c r="C230" s="41">
        <f>SollAZ!E53</f>
        <v>45516</v>
      </c>
      <c r="D230" s="53">
        <v>229</v>
      </c>
      <c r="E230" s="54">
        <f>SollAZ!F53</f>
        <v>8.4</v>
      </c>
    </row>
    <row r="231" spans="1:5" x14ac:dyDescent="0.25">
      <c r="A231" s="6">
        <v>8</v>
      </c>
      <c r="B231" s="6">
        <v>13</v>
      </c>
      <c r="C231" s="41">
        <f>SollAZ!E54</f>
        <v>45517</v>
      </c>
      <c r="D231" s="53">
        <v>230</v>
      </c>
      <c r="E231" s="54">
        <f>SollAZ!F54</f>
        <v>8.4</v>
      </c>
    </row>
    <row r="232" spans="1:5" x14ac:dyDescent="0.25">
      <c r="A232" s="6">
        <v>8</v>
      </c>
      <c r="B232" s="6">
        <v>14</v>
      </c>
      <c r="C232" s="41">
        <f>SollAZ!E55</f>
        <v>45518</v>
      </c>
      <c r="D232" s="53">
        <v>231</v>
      </c>
      <c r="E232" s="54">
        <f>SollAZ!F55</f>
        <v>8.4</v>
      </c>
    </row>
    <row r="233" spans="1:5" x14ac:dyDescent="0.25">
      <c r="A233" s="6">
        <v>8</v>
      </c>
      <c r="B233" s="6">
        <v>15</v>
      </c>
      <c r="C233" s="41">
        <f>SollAZ!E56</f>
        <v>45519</v>
      </c>
      <c r="D233" s="53">
        <v>232</v>
      </c>
      <c r="E233" s="54">
        <f>SollAZ!F56</f>
        <v>8.4</v>
      </c>
    </row>
    <row r="234" spans="1:5" x14ac:dyDescent="0.25">
      <c r="A234" s="6">
        <v>8</v>
      </c>
      <c r="B234" s="6">
        <v>16</v>
      </c>
      <c r="C234" s="41">
        <f>SollAZ!E57</f>
        <v>45520</v>
      </c>
      <c r="D234" s="53">
        <v>233</v>
      </c>
      <c r="E234" s="54">
        <f>SollAZ!F57</f>
        <v>8.4</v>
      </c>
    </row>
    <row r="235" spans="1:5" x14ac:dyDescent="0.25">
      <c r="A235" s="6">
        <v>8</v>
      </c>
      <c r="B235" s="6">
        <v>17</v>
      </c>
      <c r="C235" s="41">
        <f>SollAZ!E58</f>
        <v>45521</v>
      </c>
      <c r="D235" s="53">
        <v>234</v>
      </c>
      <c r="E235" s="54" t="str">
        <f>SollAZ!F58</f>
        <v/>
      </c>
    </row>
    <row r="236" spans="1:5" x14ac:dyDescent="0.25">
      <c r="A236" s="6">
        <v>8</v>
      </c>
      <c r="B236" s="6">
        <v>18</v>
      </c>
      <c r="C236" s="41">
        <f>SollAZ!E59</f>
        <v>45522</v>
      </c>
      <c r="D236" s="53">
        <v>235</v>
      </c>
      <c r="E236" s="54" t="str">
        <f>SollAZ!F59</f>
        <v/>
      </c>
    </row>
    <row r="237" spans="1:5" x14ac:dyDescent="0.25">
      <c r="A237" s="6">
        <v>8</v>
      </c>
      <c r="B237" s="6">
        <v>19</v>
      </c>
      <c r="C237" s="41">
        <f>SollAZ!E60</f>
        <v>45523</v>
      </c>
      <c r="D237" s="53">
        <v>236</v>
      </c>
      <c r="E237" s="54">
        <f>SollAZ!F60</f>
        <v>8.4</v>
      </c>
    </row>
    <row r="238" spans="1:5" x14ac:dyDescent="0.25">
      <c r="A238" s="6">
        <v>8</v>
      </c>
      <c r="B238" s="6">
        <v>20</v>
      </c>
      <c r="C238" s="41">
        <f>SollAZ!E61</f>
        <v>45524</v>
      </c>
      <c r="D238" s="53">
        <v>237</v>
      </c>
      <c r="E238" s="54">
        <f>SollAZ!F61</f>
        <v>8.4</v>
      </c>
    </row>
    <row r="239" spans="1:5" x14ac:dyDescent="0.25">
      <c r="A239" s="6">
        <v>8</v>
      </c>
      <c r="B239" s="6">
        <v>21</v>
      </c>
      <c r="C239" s="41">
        <f>SollAZ!E62</f>
        <v>45525</v>
      </c>
      <c r="D239" s="53">
        <v>238</v>
      </c>
      <c r="E239" s="54">
        <f>SollAZ!F62</f>
        <v>8.4</v>
      </c>
    </row>
    <row r="240" spans="1:5" x14ac:dyDescent="0.25">
      <c r="A240" s="6">
        <v>8</v>
      </c>
      <c r="B240" s="6">
        <v>22</v>
      </c>
      <c r="C240" s="41">
        <f>SollAZ!E63</f>
        <v>45526</v>
      </c>
      <c r="D240" s="53">
        <v>239</v>
      </c>
      <c r="E240" s="54">
        <f>SollAZ!F63</f>
        <v>8.4</v>
      </c>
    </row>
    <row r="241" spans="1:5" x14ac:dyDescent="0.25">
      <c r="A241" s="6">
        <v>8</v>
      </c>
      <c r="B241" s="6">
        <v>23</v>
      </c>
      <c r="C241" s="41">
        <f>SollAZ!E64</f>
        <v>45527</v>
      </c>
      <c r="D241" s="53">
        <v>240</v>
      </c>
      <c r="E241" s="54">
        <f>SollAZ!F64</f>
        <v>8.4</v>
      </c>
    </row>
    <row r="242" spans="1:5" x14ac:dyDescent="0.25">
      <c r="A242" s="6">
        <v>8</v>
      </c>
      <c r="B242" s="6">
        <v>24</v>
      </c>
      <c r="C242" s="41">
        <f>SollAZ!E65</f>
        <v>45528</v>
      </c>
      <c r="D242" s="53">
        <v>241</v>
      </c>
      <c r="E242" s="54" t="str">
        <f>SollAZ!F65</f>
        <v/>
      </c>
    </row>
    <row r="243" spans="1:5" x14ac:dyDescent="0.25">
      <c r="A243" s="6">
        <v>8</v>
      </c>
      <c r="B243" s="6">
        <v>25</v>
      </c>
      <c r="C243" s="41">
        <f>SollAZ!E66</f>
        <v>45529</v>
      </c>
      <c r="D243" s="53">
        <v>242</v>
      </c>
      <c r="E243" s="54" t="str">
        <f>SollAZ!F66</f>
        <v/>
      </c>
    </row>
    <row r="244" spans="1:5" x14ac:dyDescent="0.25">
      <c r="A244" s="6">
        <v>8</v>
      </c>
      <c r="B244" s="6">
        <v>26</v>
      </c>
      <c r="C244" s="41">
        <f>SollAZ!E67</f>
        <v>45530</v>
      </c>
      <c r="D244" s="53">
        <v>243</v>
      </c>
      <c r="E244" s="54">
        <f>SollAZ!F67</f>
        <v>8.4</v>
      </c>
    </row>
    <row r="245" spans="1:5" x14ac:dyDescent="0.25">
      <c r="A245" s="6">
        <v>8</v>
      </c>
      <c r="B245" s="6">
        <v>27</v>
      </c>
      <c r="C245" s="41">
        <f>SollAZ!E68</f>
        <v>45531</v>
      </c>
      <c r="D245" s="53">
        <v>244</v>
      </c>
      <c r="E245" s="54">
        <f>SollAZ!F68</f>
        <v>8.4</v>
      </c>
    </row>
    <row r="246" spans="1:5" x14ac:dyDescent="0.25">
      <c r="A246" s="6">
        <v>8</v>
      </c>
      <c r="B246" s="6">
        <v>28</v>
      </c>
      <c r="C246" s="41">
        <f>SollAZ!E69</f>
        <v>45532</v>
      </c>
      <c r="D246" s="53">
        <v>245</v>
      </c>
      <c r="E246" s="54">
        <f>SollAZ!F69</f>
        <v>8.4</v>
      </c>
    </row>
    <row r="247" spans="1:5" x14ac:dyDescent="0.25">
      <c r="A247" s="6">
        <v>8</v>
      </c>
      <c r="B247" s="6">
        <v>29</v>
      </c>
      <c r="C247" s="41">
        <f>SollAZ!E70</f>
        <v>45533</v>
      </c>
      <c r="D247" s="53">
        <v>246</v>
      </c>
      <c r="E247" s="54">
        <f>SollAZ!F70</f>
        <v>8.4</v>
      </c>
    </row>
    <row r="248" spans="1:5" x14ac:dyDescent="0.25">
      <c r="A248" s="6">
        <v>8</v>
      </c>
      <c r="B248" s="6">
        <v>30</v>
      </c>
      <c r="C248" s="41">
        <f>SollAZ!E71</f>
        <v>45534</v>
      </c>
      <c r="D248" s="53">
        <v>247</v>
      </c>
      <c r="E248" s="54">
        <f>SollAZ!F71</f>
        <v>8.4</v>
      </c>
    </row>
    <row r="249" spans="1:5" x14ac:dyDescent="0.25">
      <c r="A249" s="6">
        <v>8</v>
      </c>
      <c r="B249" s="6">
        <v>31</v>
      </c>
      <c r="C249" s="41">
        <f>SollAZ!E72</f>
        <v>45535</v>
      </c>
      <c r="D249" s="53">
        <v>248</v>
      </c>
      <c r="E249" s="54" t="str">
        <f>SollAZ!F72</f>
        <v/>
      </c>
    </row>
    <row r="250" spans="1:5" x14ac:dyDescent="0.25">
      <c r="A250" s="6">
        <v>9</v>
      </c>
      <c r="B250" s="6">
        <v>1</v>
      </c>
      <c r="C250" s="41">
        <f>SollAZ!H42</f>
        <v>45536</v>
      </c>
      <c r="D250" s="53">
        <v>249</v>
      </c>
      <c r="E250" s="54" t="str">
        <f>SollAZ!I42</f>
        <v/>
      </c>
    </row>
    <row r="251" spans="1:5" x14ac:dyDescent="0.25">
      <c r="A251" s="6">
        <v>9</v>
      </c>
      <c r="B251" s="6">
        <v>2</v>
      </c>
      <c r="C251" s="41">
        <f>SollAZ!H43</f>
        <v>45537</v>
      </c>
      <c r="D251" s="53">
        <v>250</v>
      </c>
      <c r="E251" s="54">
        <f>SollAZ!I43</f>
        <v>8.4</v>
      </c>
    </row>
    <row r="252" spans="1:5" x14ac:dyDescent="0.25">
      <c r="A252" s="6">
        <v>9</v>
      </c>
      <c r="B252" s="6">
        <v>3</v>
      </c>
      <c r="C252" s="41">
        <f>SollAZ!H44</f>
        <v>45538</v>
      </c>
      <c r="D252" s="53">
        <v>251</v>
      </c>
      <c r="E252" s="54">
        <f>SollAZ!I44</f>
        <v>8.4</v>
      </c>
    </row>
    <row r="253" spans="1:5" x14ac:dyDescent="0.25">
      <c r="A253" s="6">
        <v>9</v>
      </c>
      <c r="B253" s="6">
        <v>4</v>
      </c>
      <c r="C253" s="41">
        <f>SollAZ!H45</f>
        <v>45539</v>
      </c>
      <c r="D253" s="53">
        <v>252</v>
      </c>
      <c r="E253" s="54">
        <f>SollAZ!I45</f>
        <v>8.4</v>
      </c>
    </row>
    <row r="254" spans="1:5" x14ac:dyDescent="0.25">
      <c r="A254" s="6">
        <v>9</v>
      </c>
      <c r="B254" s="6">
        <v>5</v>
      </c>
      <c r="C254" s="41">
        <f>SollAZ!H46</f>
        <v>45540</v>
      </c>
      <c r="D254" s="53">
        <v>253</v>
      </c>
      <c r="E254" s="54">
        <f>SollAZ!I46</f>
        <v>8.4</v>
      </c>
    </row>
    <row r="255" spans="1:5" x14ac:dyDescent="0.25">
      <c r="A255" s="6">
        <v>9</v>
      </c>
      <c r="B255" s="6">
        <v>6</v>
      </c>
      <c r="C255" s="41">
        <f>SollAZ!H47</f>
        <v>45541</v>
      </c>
      <c r="D255" s="53">
        <v>254</v>
      </c>
      <c r="E255" s="54">
        <f>SollAZ!I47</f>
        <v>8.4</v>
      </c>
    </row>
    <row r="256" spans="1:5" x14ac:dyDescent="0.25">
      <c r="A256" s="6">
        <v>9</v>
      </c>
      <c r="B256" s="6">
        <v>7</v>
      </c>
      <c r="C256" s="41">
        <f>SollAZ!H48</f>
        <v>45542</v>
      </c>
      <c r="D256" s="53">
        <v>255</v>
      </c>
      <c r="E256" s="54" t="str">
        <f>SollAZ!I48</f>
        <v/>
      </c>
    </row>
    <row r="257" spans="1:5" x14ac:dyDescent="0.25">
      <c r="A257" s="6">
        <v>9</v>
      </c>
      <c r="B257" s="6">
        <v>8</v>
      </c>
      <c r="C257" s="41">
        <f>SollAZ!H49</f>
        <v>45543</v>
      </c>
      <c r="D257" s="53">
        <v>256</v>
      </c>
      <c r="E257" s="54" t="str">
        <f>SollAZ!I49</f>
        <v/>
      </c>
    </row>
    <row r="258" spans="1:5" x14ac:dyDescent="0.25">
      <c r="A258" s="6">
        <v>9</v>
      </c>
      <c r="B258" s="6">
        <v>9</v>
      </c>
      <c r="C258" s="41">
        <f>SollAZ!H50</f>
        <v>45544</v>
      </c>
      <c r="D258" s="53">
        <v>257</v>
      </c>
      <c r="E258" s="54">
        <f>SollAZ!I50</f>
        <v>8.4</v>
      </c>
    </row>
    <row r="259" spans="1:5" x14ac:dyDescent="0.25">
      <c r="A259" s="6">
        <v>9</v>
      </c>
      <c r="B259" s="6">
        <v>10</v>
      </c>
      <c r="C259" s="41">
        <f>SollAZ!H51</f>
        <v>45545</v>
      </c>
      <c r="D259" s="53">
        <v>258</v>
      </c>
      <c r="E259" s="54">
        <f>SollAZ!I51</f>
        <v>8.4</v>
      </c>
    </row>
    <row r="260" spans="1:5" x14ac:dyDescent="0.25">
      <c r="A260" s="6">
        <v>9</v>
      </c>
      <c r="B260" s="6">
        <v>11</v>
      </c>
      <c r="C260" s="41">
        <f>SollAZ!H52</f>
        <v>45546</v>
      </c>
      <c r="D260" s="53">
        <v>259</v>
      </c>
      <c r="E260" s="54">
        <f>SollAZ!I52</f>
        <v>8.4</v>
      </c>
    </row>
    <row r="261" spans="1:5" x14ac:dyDescent="0.25">
      <c r="A261" s="6">
        <v>9</v>
      </c>
      <c r="B261" s="6">
        <v>12</v>
      </c>
      <c r="C261" s="41">
        <f>SollAZ!H53</f>
        <v>45547</v>
      </c>
      <c r="D261" s="53">
        <v>260</v>
      </c>
      <c r="E261" s="54">
        <f>SollAZ!I53</f>
        <v>8.4</v>
      </c>
    </row>
    <row r="262" spans="1:5" x14ac:dyDescent="0.25">
      <c r="A262" s="6">
        <v>9</v>
      </c>
      <c r="B262" s="6">
        <v>13</v>
      </c>
      <c r="C262" s="41">
        <f>SollAZ!H54</f>
        <v>45548</v>
      </c>
      <c r="D262" s="53">
        <v>261</v>
      </c>
      <c r="E262" s="54">
        <f>SollAZ!I54</f>
        <v>8.4</v>
      </c>
    </row>
    <row r="263" spans="1:5" x14ac:dyDescent="0.25">
      <c r="A263" s="6">
        <v>9</v>
      </c>
      <c r="B263" s="6">
        <v>14</v>
      </c>
      <c r="C263" s="41">
        <f>SollAZ!H55</f>
        <v>45549</v>
      </c>
      <c r="D263" s="53">
        <v>262</v>
      </c>
      <c r="E263" s="54" t="str">
        <f>SollAZ!I55</f>
        <v/>
      </c>
    </row>
    <row r="264" spans="1:5" x14ac:dyDescent="0.25">
      <c r="A264" s="6">
        <v>9</v>
      </c>
      <c r="B264" s="6">
        <v>15</v>
      </c>
      <c r="C264" s="41">
        <f>SollAZ!H56</f>
        <v>45550</v>
      </c>
      <c r="D264" s="53">
        <v>263</v>
      </c>
      <c r="E264" s="54" t="str">
        <f>SollAZ!I56</f>
        <v/>
      </c>
    </row>
    <row r="265" spans="1:5" x14ac:dyDescent="0.25">
      <c r="A265" s="6">
        <v>9</v>
      </c>
      <c r="B265" s="6">
        <v>16</v>
      </c>
      <c r="C265" s="41">
        <f>SollAZ!H57</f>
        <v>45551</v>
      </c>
      <c r="D265" s="53">
        <v>264</v>
      </c>
      <c r="E265" s="54">
        <f>SollAZ!I57</f>
        <v>8.4</v>
      </c>
    </row>
    <row r="266" spans="1:5" x14ac:dyDescent="0.25">
      <c r="A266" s="6">
        <v>9</v>
      </c>
      <c r="B266" s="6">
        <v>17</v>
      </c>
      <c r="C266" s="41">
        <f>SollAZ!H58</f>
        <v>45552</v>
      </c>
      <c r="D266" s="53">
        <v>265</v>
      </c>
      <c r="E266" s="54">
        <f>SollAZ!I58</f>
        <v>8.4</v>
      </c>
    </row>
    <row r="267" spans="1:5" x14ac:dyDescent="0.25">
      <c r="A267" s="6">
        <v>9</v>
      </c>
      <c r="B267" s="6">
        <v>18</v>
      </c>
      <c r="C267" s="41">
        <f>SollAZ!H59</f>
        <v>45553</v>
      </c>
      <c r="D267" s="53">
        <v>266</v>
      </c>
      <c r="E267" s="54">
        <f>SollAZ!I59</f>
        <v>8.4</v>
      </c>
    </row>
    <row r="268" spans="1:5" x14ac:dyDescent="0.25">
      <c r="A268" s="6">
        <v>9</v>
      </c>
      <c r="B268" s="6">
        <v>19</v>
      </c>
      <c r="C268" s="41">
        <f>SollAZ!H60</f>
        <v>45554</v>
      </c>
      <c r="D268" s="53">
        <v>267</v>
      </c>
      <c r="E268" s="54">
        <f>SollAZ!I60</f>
        <v>8.4</v>
      </c>
    </row>
    <row r="269" spans="1:5" x14ac:dyDescent="0.25">
      <c r="A269" s="6">
        <v>9</v>
      </c>
      <c r="B269" s="6">
        <v>20</v>
      </c>
      <c r="C269" s="41">
        <f>SollAZ!H61</f>
        <v>45555</v>
      </c>
      <c r="D269" s="53">
        <v>268</v>
      </c>
      <c r="E269" s="54">
        <f>SollAZ!I61</f>
        <v>8.4</v>
      </c>
    </row>
    <row r="270" spans="1:5" x14ac:dyDescent="0.25">
      <c r="A270" s="6">
        <v>9</v>
      </c>
      <c r="B270" s="6">
        <v>21</v>
      </c>
      <c r="C270" s="41">
        <f>SollAZ!H62</f>
        <v>45556</v>
      </c>
      <c r="D270" s="53">
        <v>269</v>
      </c>
      <c r="E270" s="54" t="str">
        <f>SollAZ!I62</f>
        <v/>
      </c>
    </row>
    <row r="271" spans="1:5" x14ac:dyDescent="0.25">
      <c r="A271" s="6">
        <v>9</v>
      </c>
      <c r="B271" s="6">
        <v>22</v>
      </c>
      <c r="C271" s="41">
        <f>SollAZ!H63</f>
        <v>45557</v>
      </c>
      <c r="D271" s="53">
        <v>270</v>
      </c>
      <c r="E271" s="54" t="str">
        <f>SollAZ!I63</f>
        <v/>
      </c>
    </row>
    <row r="272" spans="1:5" x14ac:dyDescent="0.25">
      <c r="A272" s="6">
        <v>9</v>
      </c>
      <c r="B272" s="6">
        <v>23</v>
      </c>
      <c r="C272" s="41">
        <f>SollAZ!H64</f>
        <v>45558</v>
      </c>
      <c r="D272" s="53">
        <v>271</v>
      </c>
      <c r="E272" s="54">
        <f>SollAZ!I64</f>
        <v>8.4</v>
      </c>
    </row>
    <row r="273" spans="1:5" x14ac:dyDescent="0.25">
      <c r="A273" s="6">
        <v>9</v>
      </c>
      <c r="B273" s="6">
        <v>24</v>
      </c>
      <c r="C273" s="41">
        <f>SollAZ!H65</f>
        <v>45559</v>
      </c>
      <c r="D273" s="53">
        <v>272</v>
      </c>
      <c r="E273" s="54">
        <f>SollAZ!I65</f>
        <v>8.4</v>
      </c>
    </row>
    <row r="274" spans="1:5" x14ac:dyDescent="0.25">
      <c r="A274" s="6">
        <v>9</v>
      </c>
      <c r="B274" s="6">
        <v>25</v>
      </c>
      <c r="C274" s="41">
        <f>SollAZ!H66</f>
        <v>45560</v>
      </c>
      <c r="D274" s="53">
        <v>273</v>
      </c>
      <c r="E274" s="54">
        <f>SollAZ!I66</f>
        <v>8.4</v>
      </c>
    </row>
    <row r="275" spans="1:5" x14ac:dyDescent="0.25">
      <c r="A275" s="6">
        <v>9</v>
      </c>
      <c r="B275" s="6">
        <v>26</v>
      </c>
      <c r="C275" s="41">
        <f>SollAZ!H67</f>
        <v>45561</v>
      </c>
      <c r="D275" s="53">
        <v>274</v>
      </c>
      <c r="E275" s="54">
        <f>SollAZ!I67</f>
        <v>8.4</v>
      </c>
    </row>
    <row r="276" spans="1:5" x14ac:dyDescent="0.25">
      <c r="A276" s="6">
        <v>9</v>
      </c>
      <c r="B276" s="6">
        <v>27</v>
      </c>
      <c r="C276" s="41">
        <f>SollAZ!H68</f>
        <v>45562</v>
      </c>
      <c r="D276" s="53">
        <v>275</v>
      </c>
      <c r="E276" s="54">
        <f>SollAZ!I68</f>
        <v>8.4</v>
      </c>
    </row>
    <row r="277" spans="1:5" x14ac:dyDescent="0.25">
      <c r="A277" s="6">
        <v>9</v>
      </c>
      <c r="B277" s="6">
        <v>28</v>
      </c>
      <c r="C277" s="41">
        <f>SollAZ!H69</f>
        <v>45563</v>
      </c>
      <c r="D277" s="53">
        <v>276</v>
      </c>
      <c r="E277" s="54" t="str">
        <f>SollAZ!I69</f>
        <v/>
      </c>
    </row>
    <row r="278" spans="1:5" x14ac:dyDescent="0.25">
      <c r="A278" s="6">
        <v>9</v>
      </c>
      <c r="B278" s="6">
        <v>29</v>
      </c>
      <c r="C278" s="41">
        <f>SollAZ!H70</f>
        <v>45564</v>
      </c>
      <c r="D278" s="53">
        <v>277</v>
      </c>
      <c r="E278" s="54" t="str">
        <f>SollAZ!I70</f>
        <v/>
      </c>
    </row>
    <row r="279" spans="1:5" x14ac:dyDescent="0.25">
      <c r="A279" s="6">
        <v>9</v>
      </c>
      <c r="B279" s="6">
        <v>30</v>
      </c>
      <c r="C279" s="41">
        <f>SollAZ!H71</f>
        <v>45565</v>
      </c>
      <c r="D279" s="53">
        <v>278</v>
      </c>
      <c r="E279" s="54">
        <f>SollAZ!I71</f>
        <v>8.4</v>
      </c>
    </row>
    <row r="280" spans="1:5" x14ac:dyDescent="0.25">
      <c r="A280" s="6">
        <v>9</v>
      </c>
      <c r="B280" s="6">
        <v>31</v>
      </c>
      <c r="C280" s="41" t="str">
        <f>SollAZ!H72</f>
        <v/>
      </c>
      <c r="D280" s="53">
        <v>279</v>
      </c>
      <c r="E280" s="54" t="str">
        <f>SollAZ!I72</f>
        <v/>
      </c>
    </row>
    <row r="281" spans="1:5" x14ac:dyDescent="0.25">
      <c r="A281" s="6">
        <v>10</v>
      </c>
      <c r="B281" s="6">
        <v>1</v>
      </c>
      <c r="C281" s="41">
        <f>SollAZ!K42</f>
        <v>45566</v>
      </c>
      <c r="D281" s="53">
        <v>280</v>
      </c>
      <c r="E281" s="54">
        <f>SollAZ!L42</f>
        <v>8.4</v>
      </c>
    </row>
    <row r="282" spans="1:5" x14ac:dyDescent="0.25">
      <c r="A282" s="6">
        <v>10</v>
      </c>
      <c r="B282" s="6">
        <v>2</v>
      </c>
      <c r="C282" s="41">
        <f>SollAZ!K43</f>
        <v>45567</v>
      </c>
      <c r="D282" s="53">
        <v>281</v>
      </c>
      <c r="E282" s="54">
        <f>SollAZ!L43</f>
        <v>8.4</v>
      </c>
    </row>
    <row r="283" spans="1:5" x14ac:dyDescent="0.25">
      <c r="A283" s="6">
        <v>10</v>
      </c>
      <c r="B283" s="6">
        <v>3</v>
      </c>
      <c r="C283" s="41">
        <f>SollAZ!K44</f>
        <v>45568</v>
      </c>
      <c r="D283" s="53">
        <v>282</v>
      </c>
      <c r="E283" s="54">
        <f>SollAZ!L44</f>
        <v>8.4</v>
      </c>
    </row>
    <row r="284" spans="1:5" x14ac:dyDescent="0.25">
      <c r="A284" s="6">
        <v>10</v>
      </c>
      <c r="B284" s="6">
        <v>4</v>
      </c>
      <c r="C284" s="41">
        <f>SollAZ!K45</f>
        <v>45569</v>
      </c>
      <c r="D284" s="53">
        <v>283</v>
      </c>
      <c r="E284" s="54">
        <f>SollAZ!L45</f>
        <v>8.4</v>
      </c>
    </row>
    <row r="285" spans="1:5" x14ac:dyDescent="0.25">
      <c r="A285" s="6">
        <v>10</v>
      </c>
      <c r="B285" s="6">
        <v>5</v>
      </c>
      <c r="C285" s="41">
        <f>SollAZ!K46</f>
        <v>45570</v>
      </c>
      <c r="D285" s="53">
        <v>284</v>
      </c>
      <c r="E285" s="54" t="str">
        <f>SollAZ!L46</f>
        <v/>
      </c>
    </row>
    <row r="286" spans="1:5" x14ac:dyDescent="0.25">
      <c r="A286" s="6">
        <v>10</v>
      </c>
      <c r="B286" s="6">
        <v>6</v>
      </c>
      <c r="C286" s="41">
        <f>SollAZ!K47</f>
        <v>45571</v>
      </c>
      <c r="D286" s="53">
        <v>285</v>
      </c>
      <c r="E286" s="54" t="str">
        <f>SollAZ!L47</f>
        <v/>
      </c>
    </row>
    <row r="287" spans="1:5" x14ac:dyDescent="0.25">
      <c r="A287" s="6">
        <v>10</v>
      </c>
      <c r="B287" s="6">
        <v>7</v>
      </c>
      <c r="C287" s="41">
        <f>SollAZ!K48</f>
        <v>45572</v>
      </c>
      <c r="D287" s="53">
        <v>286</v>
      </c>
      <c r="E287" s="54">
        <f>SollAZ!L48</f>
        <v>8.4</v>
      </c>
    </row>
    <row r="288" spans="1:5" x14ac:dyDescent="0.25">
      <c r="A288" s="6">
        <v>10</v>
      </c>
      <c r="B288" s="6">
        <v>8</v>
      </c>
      <c r="C288" s="41">
        <f>SollAZ!K49</f>
        <v>45573</v>
      </c>
      <c r="D288" s="53">
        <v>287</v>
      </c>
      <c r="E288" s="54">
        <f>SollAZ!L49</f>
        <v>8.4</v>
      </c>
    </row>
    <row r="289" spans="1:5" x14ac:dyDescent="0.25">
      <c r="A289" s="6">
        <v>10</v>
      </c>
      <c r="B289" s="6">
        <v>9</v>
      </c>
      <c r="C289" s="41">
        <f>SollAZ!K50</f>
        <v>45574</v>
      </c>
      <c r="D289" s="53">
        <v>288</v>
      </c>
      <c r="E289" s="54">
        <f>SollAZ!L50</f>
        <v>8.4</v>
      </c>
    </row>
    <row r="290" spans="1:5" x14ac:dyDescent="0.25">
      <c r="A290" s="6">
        <v>10</v>
      </c>
      <c r="B290" s="6">
        <v>10</v>
      </c>
      <c r="C290" s="41">
        <f>SollAZ!K51</f>
        <v>45575</v>
      </c>
      <c r="D290" s="53">
        <v>289</v>
      </c>
      <c r="E290" s="54">
        <f>SollAZ!L51</f>
        <v>8.4</v>
      </c>
    </row>
    <row r="291" spans="1:5" x14ac:dyDescent="0.25">
      <c r="A291" s="6">
        <v>10</v>
      </c>
      <c r="B291" s="6">
        <v>11</v>
      </c>
      <c r="C291" s="41">
        <f>SollAZ!K52</f>
        <v>45576</v>
      </c>
      <c r="D291" s="53">
        <v>290</v>
      </c>
      <c r="E291" s="54">
        <f>SollAZ!L52</f>
        <v>8.4</v>
      </c>
    </row>
    <row r="292" spans="1:5" x14ac:dyDescent="0.25">
      <c r="A292" s="6">
        <v>10</v>
      </c>
      <c r="B292" s="6">
        <v>12</v>
      </c>
      <c r="C292" s="41">
        <f>SollAZ!K53</f>
        <v>45577</v>
      </c>
      <c r="D292" s="53">
        <v>291</v>
      </c>
      <c r="E292" s="54" t="str">
        <f>SollAZ!L53</f>
        <v/>
      </c>
    </row>
    <row r="293" spans="1:5" x14ac:dyDescent="0.25">
      <c r="A293" s="6">
        <v>10</v>
      </c>
      <c r="B293" s="6">
        <v>13</v>
      </c>
      <c r="C293" s="41">
        <f>SollAZ!K54</f>
        <v>45578</v>
      </c>
      <c r="D293" s="53">
        <v>292</v>
      </c>
      <c r="E293" s="54" t="str">
        <f>SollAZ!L54</f>
        <v/>
      </c>
    </row>
    <row r="294" spans="1:5" x14ac:dyDescent="0.25">
      <c r="A294" s="6">
        <v>10</v>
      </c>
      <c r="B294" s="6">
        <v>14</v>
      </c>
      <c r="C294" s="41">
        <f>SollAZ!K55</f>
        <v>45579</v>
      </c>
      <c r="D294" s="53">
        <v>293</v>
      </c>
      <c r="E294" s="54">
        <f>SollAZ!L55</f>
        <v>8.4</v>
      </c>
    </row>
    <row r="295" spans="1:5" x14ac:dyDescent="0.25">
      <c r="A295" s="6">
        <v>10</v>
      </c>
      <c r="B295" s="6">
        <v>15</v>
      </c>
      <c r="C295" s="41">
        <f>SollAZ!K56</f>
        <v>45580</v>
      </c>
      <c r="D295" s="53">
        <v>294</v>
      </c>
      <c r="E295" s="54">
        <f>SollAZ!L56</f>
        <v>8.4</v>
      </c>
    </row>
    <row r="296" spans="1:5" x14ac:dyDescent="0.25">
      <c r="A296" s="6">
        <v>10</v>
      </c>
      <c r="B296" s="6">
        <v>16</v>
      </c>
      <c r="C296" s="41">
        <f>SollAZ!K57</f>
        <v>45581</v>
      </c>
      <c r="D296" s="53">
        <v>295</v>
      </c>
      <c r="E296" s="54">
        <f>SollAZ!L57</f>
        <v>8.4</v>
      </c>
    </row>
    <row r="297" spans="1:5" x14ac:dyDescent="0.25">
      <c r="A297" s="6">
        <v>10</v>
      </c>
      <c r="B297" s="6">
        <v>17</v>
      </c>
      <c r="C297" s="41">
        <f>SollAZ!K58</f>
        <v>45582</v>
      </c>
      <c r="D297" s="53">
        <v>296</v>
      </c>
      <c r="E297" s="54">
        <f>SollAZ!L58</f>
        <v>8.4</v>
      </c>
    </row>
    <row r="298" spans="1:5" x14ac:dyDescent="0.25">
      <c r="A298" s="6">
        <v>10</v>
      </c>
      <c r="B298" s="6">
        <v>18</v>
      </c>
      <c r="C298" s="41">
        <f>SollAZ!K59</f>
        <v>45583</v>
      </c>
      <c r="D298" s="53">
        <v>297</v>
      </c>
      <c r="E298" s="54">
        <f>SollAZ!L59</f>
        <v>8.4</v>
      </c>
    </row>
    <row r="299" spans="1:5" x14ac:dyDescent="0.25">
      <c r="A299" s="6">
        <v>10</v>
      </c>
      <c r="B299" s="6">
        <v>19</v>
      </c>
      <c r="C299" s="41">
        <f>SollAZ!K60</f>
        <v>45584</v>
      </c>
      <c r="D299" s="53">
        <v>298</v>
      </c>
      <c r="E299" s="54" t="str">
        <f>SollAZ!L60</f>
        <v/>
      </c>
    </row>
    <row r="300" spans="1:5" x14ac:dyDescent="0.25">
      <c r="A300" s="6">
        <v>10</v>
      </c>
      <c r="B300" s="6">
        <v>20</v>
      </c>
      <c r="C300" s="41">
        <f>SollAZ!K61</f>
        <v>45585</v>
      </c>
      <c r="D300" s="53">
        <v>299</v>
      </c>
      <c r="E300" s="54" t="str">
        <f>SollAZ!L61</f>
        <v/>
      </c>
    </row>
    <row r="301" spans="1:5" x14ac:dyDescent="0.25">
      <c r="A301" s="6">
        <v>10</v>
      </c>
      <c r="B301" s="6">
        <v>21</v>
      </c>
      <c r="C301" s="41">
        <f>SollAZ!K62</f>
        <v>45586</v>
      </c>
      <c r="D301" s="53">
        <v>300</v>
      </c>
      <c r="E301" s="54">
        <f>SollAZ!L62</f>
        <v>8.4</v>
      </c>
    </row>
    <row r="302" spans="1:5" x14ac:dyDescent="0.25">
      <c r="A302" s="6">
        <v>10</v>
      </c>
      <c r="B302" s="6">
        <v>22</v>
      </c>
      <c r="C302" s="41">
        <f>SollAZ!K63</f>
        <v>45587</v>
      </c>
      <c r="D302" s="53">
        <v>301</v>
      </c>
      <c r="E302" s="54">
        <f>SollAZ!L63</f>
        <v>8.4</v>
      </c>
    </row>
    <row r="303" spans="1:5" x14ac:dyDescent="0.25">
      <c r="A303" s="6">
        <v>10</v>
      </c>
      <c r="B303" s="6">
        <v>23</v>
      </c>
      <c r="C303" s="41">
        <f>SollAZ!K64</f>
        <v>45588</v>
      </c>
      <c r="D303" s="53">
        <v>302</v>
      </c>
      <c r="E303" s="54">
        <f>SollAZ!L64</f>
        <v>8.4</v>
      </c>
    </row>
    <row r="304" spans="1:5" x14ac:dyDescent="0.25">
      <c r="A304" s="6">
        <v>10</v>
      </c>
      <c r="B304" s="6">
        <v>24</v>
      </c>
      <c r="C304" s="41">
        <f>SollAZ!K65</f>
        <v>45589</v>
      </c>
      <c r="D304" s="53">
        <v>303</v>
      </c>
      <c r="E304" s="54">
        <f>SollAZ!L65</f>
        <v>8.4</v>
      </c>
    </row>
    <row r="305" spans="1:5" x14ac:dyDescent="0.25">
      <c r="A305" s="6">
        <v>10</v>
      </c>
      <c r="B305" s="6">
        <v>25</v>
      </c>
      <c r="C305" s="41">
        <f>SollAZ!K66</f>
        <v>45590</v>
      </c>
      <c r="D305" s="53">
        <v>304</v>
      </c>
      <c r="E305" s="54">
        <f>SollAZ!L66</f>
        <v>8.4</v>
      </c>
    </row>
    <row r="306" spans="1:5" x14ac:dyDescent="0.25">
      <c r="A306" s="6">
        <v>10</v>
      </c>
      <c r="B306" s="6">
        <v>26</v>
      </c>
      <c r="C306" s="41">
        <f>SollAZ!K67</f>
        <v>45591</v>
      </c>
      <c r="D306" s="53">
        <v>305</v>
      </c>
      <c r="E306" s="54" t="str">
        <f>SollAZ!L67</f>
        <v/>
      </c>
    </row>
    <row r="307" spans="1:5" x14ac:dyDescent="0.25">
      <c r="A307" s="6">
        <v>10</v>
      </c>
      <c r="B307" s="6">
        <v>27</v>
      </c>
      <c r="C307" s="41">
        <f>SollAZ!K68</f>
        <v>45592</v>
      </c>
      <c r="D307" s="53">
        <v>306</v>
      </c>
      <c r="E307" s="54" t="str">
        <f>SollAZ!L68</f>
        <v/>
      </c>
    </row>
    <row r="308" spans="1:5" x14ac:dyDescent="0.25">
      <c r="A308" s="6">
        <v>10</v>
      </c>
      <c r="B308" s="6">
        <v>28</v>
      </c>
      <c r="C308" s="41">
        <f>SollAZ!K69</f>
        <v>45593</v>
      </c>
      <c r="D308" s="53">
        <v>307</v>
      </c>
      <c r="E308" s="54">
        <f>SollAZ!L69</f>
        <v>8.4</v>
      </c>
    </row>
    <row r="309" spans="1:5" x14ac:dyDescent="0.25">
      <c r="A309" s="6">
        <v>10</v>
      </c>
      <c r="B309" s="6">
        <v>29</v>
      </c>
      <c r="C309" s="41">
        <f>SollAZ!K70</f>
        <v>45594</v>
      </c>
      <c r="D309" s="53">
        <v>308</v>
      </c>
      <c r="E309" s="54">
        <f>SollAZ!L70</f>
        <v>8.4</v>
      </c>
    </row>
    <row r="310" spans="1:5" x14ac:dyDescent="0.25">
      <c r="A310" s="6">
        <v>10</v>
      </c>
      <c r="B310" s="6">
        <v>30</v>
      </c>
      <c r="C310" s="41">
        <f>SollAZ!K71</f>
        <v>45595</v>
      </c>
      <c r="D310" s="53">
        <v>309</v>
      </c>
      <c r="E310" s="54">
        <f>SollAZ!L71</f>
        <v>8.4</v>
      </c>
    </row>
    <row r="311" spans="1:5" x14ac:dyDescent="0.25">
      <c r="A311" s="6">
        <v>10</v>
      </c>
      <c r="B311" s="6">
        <v>31</v>
      </c>
      <c r="C311" s="41">
        <f>SollAZ!K72</f>
        <v>45596</v>
      </c>
      <c r="D311" s="53">
        <v>310</v>
      </c>
      <c r="E311" s="54">
        <f>SollAZ!L72</f>
        <v>8.4</v>
      </c>
    </row>
    <row r="312" spans="1:5" x14ac:dyDescent="0.25">
      <c r="A312" s="6">
        <v>11</v>
      </c>
      <c r="B312" s="6">
        <v>1</v>
      </c>
      <c r="C312" s="41">
        <f>SollAZ!N42</f>
        <v>45597</v>
      </c>
      <c r="D312" s="53">
        <v>311</v>
      </c>
      <c r="E312" s="54" t="str">
        <f>SollAZ!O42</f>
        <v>Allerheiligen</v>
      </c>
    </row>
    <row r="313" spans="1:5" x14ac:dyDescent="0.25">
      <c r="A313" s="6">
        <v>11</v>
      </c>
      <c r="B313" s="6">
        <v>2</v>
      </c>
      <c r="C313" s="41">
        <f>SollAZ!N43</f>
        <v>45598</v>
      </c>
      <c r="D313" s="53">
        <v>312</v>
      </c>
      <c r="E313" s="54" t="str">
        <f>SollAZ!O43</f>
        <v/>
      </c>
    </row>
    <row r="314" spans="1:5" x14ac:dyDescent="0.25">
      <c r="A314" s="6">
        <v>11</v>
      </c>
      <c r="B314" s="6">
        <v>3</v>
      </c>
      <c r="C314" s="41">
        <f>SollAZ!N44</f>
        <v>45599</v>
      </c>
      <c r="D314" s="53">
        <v>313</v>
      </c>
      <c r="E314" s="54" t="str">
        <f>SollAZ!O44</f>
        <v/>
      </c>
    </row>
    <row r="315" spans="1:5" x14ac:dyDescent="0.25">
      <c r="A315" s="6">
        <v>11</v>
      </c>
      <c r="B315" s="6">
        <v>4</v>
      </c>
      <c r="C315" s="41">
        <f>SollAZ!N45</f>
        <v>45600</v>
      </c>
      <c r="D315" s="53">
        <v>314</v>
      </c>
      <c r="E315" s="54">
        <f>SollAZ!O45</f>
        <v>8.4</v>
      </c>
    </row>
    <row r="316" spans="1:5" x14ac:dyDescent="0.25">
      <c r="A316" s="6">
        <v>11</v>
      </c>
      <c r="B316" s="6">
        <v>5</v>
      </c>
      <c r="C316" s="41">
        <f>SollAZ!N46</f>
        <v>45601</v>
      </c>
      <c r="D316" s="53">
        <v>315</v>
      </c>
      <c r="E316" s="54">
        <f>SollAZ!O46</f>
        <v>8.4</v>
      </c>
    </row>
    <row r="317" spans="1:5" x14ac:dyDescent="0.25">
      <c r="A317" s="6">
        <v>11</v>
      </c>
      <c r="B317" s="6">
        <v>6</v>
      </c>
      <c r="C317" s="41">
        <f>SollAZ!N47</f>
        <v>45602</v>
      </c>
      <c r="D317" s="53">
        <v>316</v>
      </c>
      <c r="E317" s="54">
        <f>SollAZ!O47</f>
        <v>8.4</v>
      </c>
    </row>
    <row r="318" spans="1:5" x14ac:dyDescent="0.25">
      <c r="A318" s="6">
        <v>11</v>
      </c>
      <c r="B318" s="6">
        <v>7</v>
      </c>
      <c r="C318" s="41">
        <f>SollAZ!N48</f>
        <v>45603</v>
      </c>
      <c r="D318" s="53">
        <v>317</v>
      </c>
      <c r="E318" s="54">
        <f>SollAZ!O48</f>
        <v>8.4</v>
      </c>
    </row>
    <row r="319" spans="1:5" x14ac:dyDescent="0.25">
      <c r="A319" s="6">
        <v>11</v>
      </c>
      <c r="B319" s="6">
        <v>8</v>
      </c>
      <c r="C319" s="41">
        <f>SollAZ!N49</f>
        <v>45604</v>
      </c>
      <c r="D319" s="53">
        <v>318</v>
      </c>
      <c r="E319" s="54">
        <f>SollAZ!O49</f>
        <v>8.4</v>
      </c>
    </row>
    <row r="320" spans="1:5" x14ac:dyDescent="0.25">
      <c r="A320" s="6">
        <v>11</v>
      </c>
      <c r="B320" s="6">
        <v>9</v>
      </c>
      <c r="C320" s="41">
        <f>SollAZ!N50</f>
        <v>45605</v>
      </c>
      <c r="D320" s="53">
        <v>319</v>
      </c>
      <c r="E320" s="54" t="str">
        <f>SollAZ!O50</f>
        <v/>
      </c>
    </row>
    <row r="321" spans="1:5" x14ac:dyDescent="0.25">
      <c r="A321" s="6">
        <v>11</v>
      </c>
      <c r="B321" s="6">
        <v>10</v>
      </c>
      <c r="C321" s="41">
        <f>SollAZ!N51</f>
        <v>45606</v>
      </c>
      <c r="D321" s="53">
        <v>320</v>
      </c>
      <c r="E321" s="54" t="str">
        <f>SollAZ!O51</f>
        <v/>
      </c>
    </row>
    <row r="322" spans="1:5" x14ac:dyDescent="0.25">
      <c r="A322" s="6">
        <v>11</v>
      </c>
      <c r="B322" s="6">
        <v>11</v>
      </c>
      <c r="C322" s="41">
        <f>SollAZ!N52</f>
        <v>45607</v>
      </c>
      <c r="D322" s="53">
        <v>321</v>
      </c>
      <c r="E322" s="54">
        <f>SollAZ!O52</f>
        <v>8.4</v>
      </c>
    </row>
    <row r="323" spans="1:5" x14ac:dyDescent="0.25">
      <c r="A323" s="6">
        <v>11</v>
      </c>
      <c r="B323" s="6">
        <v>12</v>
      </c>
      <c r="C323" s="41">
        <f>SollAZ!N53</f>
        <v>45608</v>
      </c>
      <c r="D323" s="53">
        <v>322</v>
      </c>
      <c r="E323" s="54">
        <f>SollAZ!O53</f>
        <v>8.4</v>
      </c>
    </row>
    <row r="324" spans="1:5" x14ac:dyDescent="0.25">
      <c r="A324" s="6">
        <v>11</v>
      </c>
      <c r="B324" s="6">
        <v>13</v>
      </c>
      <c r="C324" s="41">
        <f>SollAZ!N54</f>
        <v>45609</v>
      </c>
      <c r="D324" s="53">
        <v>323</v>
      </c>
      <c r="E324" s="54">
        <f>SollAZ!O54</f>
        <v>8.4</v>
      </c>
    </row>
    <row r="325" spans="1:5" x14ac:dyDescent="0.25">
      <c r="A325" s="6">
        <v>11</v>
      </c>
      <c r="B325" s="6">
        <v>14</v>
      </c>
      <c r="C325" s="41">
        <f>SollAZ!N55</f>
        <v>45610</v>
      </c>
      <c r="D325" s="53">
        <v>324</v>
      </c>
      <c r="E325" s="54">
        <f>SollAZ!O55</f>
        <v>8.4</v>
      </c>
    </row>
    <row r="326" spans="1:5" x14ac:dyDescent="0.25">
      <c r="A326" s="6">
        <v>11</v>
      </c>
      <c r="B326" s="6">
        <v>15</v>
      </c>
      <c r="C326" s="41">
        <f>SollAZ!N56</f>
        <v>45611</v>
      </c>
      <c r="D326" s="53">
        <v>325</v>
      </c>
      <c r="E326" s="54">
        <f>SollAZ!O56</f>
        <v>8.4</v>
      </c>
    </row>
    <row r="327" spans="1:5" x14ac:dyDescent="0.25">
      <c r="A327" s="6">
        <v>11</v>
      </c>
      <c r="B327" s="6">
        <v>16</v>
      </c>
      <c r="C327" s="41">
        <f>SollAZ!N57</f>
        <v>45612</v>
      </c>
      <c r="D327" s="53">
        <v>326</v>
      </c>
      <c r="E327" s="54" t="str">
        <f>SollAZ!O57</f>
        <v/>
      </c>
    </row>
    <row r="328" spans="1:5" x14ac:dyDescent="0.25">
      <c r="A328" s="6">
        <v>11</v>
      </c>
      <c r="B328" s="6">
        <v>17</v>
      </c>
      <c r="C328" s="41">
        <f>SollAZ!N58</f>
        <v>45613</v>
      </c>
      <c r="D328" s="53">
        <v>327</v>
      </c>
      <c r="E328" s="54" t="str">
        <f>SollAZ!O58</f>
        <v/>
      </c>
    </row>
    <row r="329" spans="1:5" x14ac:dyDescent="0.25">
      <c r="A329" s="6">
        <v>11</v>
      </c>
      <c r="B329" s="6">
        <v>18</v>
      </c>
      <c r="C329" s="41">
        <f>SollAZ!N59</f>
        <v>45614</v>
      </c>
      <c r="D329" s="53">
        <v>328</v>
      </c>
      <c r="E329" s="54">
        <f>SollAZ!O59</f>
        <v>8.4</v>
      </c>
    </row>
    <row r="330" spans="1:5" x14ac:dyDescent="0.25">
      <c r="A330" s="6">
        <v>11</v>
      </c>
      <c r="B330" s="6">
        <v>19</v>
      </c>
      <c r="C330" s="41">
        <f>SollAZ!N60</f>
        <v>45615</v>
      </c>
      <c r="D330" s="53">
        <v>329</v>
      </c>
      <c r="E330" s="54">
        <f>SollAZ!O60</f>
        <v>8.4</v>
      </c>
    </row>
    <row r="331" spans="1:5" x14ac:dyDescent="0.25">
      <c r="A331" s="6">
        <v>11</v>
      </c>
      <c r="B331" s="6">
        <v>20</v>
      </c>
      <c r="C331" s="41">
        <f>SollAZ!N61</f>
        <v>45616</v>
      </c>
      <c r="D331" s="53">
        <v>330</v>
      </c>
      <c r="E331" s="54">
        <f>SollAZ!O61</f>
        <v>8.4</v>
      </c>
    </row>
    <row r="332" spans="1:5" x14ac:dyDescent="0.25">
      <c r="A332" s="6">
        <v>11</v>
      </c>
      <c r="B332" s="6">
        <v>21</v>
      </c>
      <c r="C332" s="41">
        <f>SollAZ!N62</f>
        <v>45617</v>
      </c>
      <c r="D332" s="53">
        <v>331</v>
      </c>
      <c r="E332" s="54">
        <f>SollAZ!O62</f>
        <v>8.4</v>
      </c>
    </row>
    <row r="333" spans="1:5" x14ac:dyDescent="0.25">
      <c r="A333" s="6">
        <v>11</v>
      </c>
      <c r="B333" s="6">
        <v>22</v>
      </c>
      <c r="C333" s="41">
        <f>SollAZ!N63</f>
        <v>45618</v>
      </c>
      <c r="D333" s="53">
        <v>332</v>
      </c>
      <c r="E333" s="54">
        <f>SollAZ!O63</f>
        <v>8.4</v>
      </c>
    </row>
    <row r="334" spans="1:5" x14ac:dyDescent="0.25">
      <c r="A334" s="6">
        <v>11</v>
      </c>
      <c r="B334" s="6">
        <v>23</v>
      </c>
      <c r="C334" s="41">
        <f>SollAZ!N64</f>
        <v>45619</v>
      </c>
      <c r="D334" s="53">
        <v>333</v>
      </c>
      <c r="E334" s="54" t="str">
        <f>SollAZ!O64</f>
        <v/>
      </c>
    </row>
    <row r="335" spans="1:5" x14ac:dyDescent="0.25">
      <c r="A335" s="6">
        <v>11</v>
      </c>
      <c r="B335" s="6">
        <v>24</v>
      </c>
      <c r="C335" s="41">
        <f>SollAZ!N65</f>
        <v>45620</v>
      </c>
      <c r="D335" s="53">
        <v>334</v>
      </c>
      <c r="E335" s="54" t="str">
        <f>SollAZ!O65</f>
        <v/>
      </c>
    </row>
    <row r="336" spans="1:5" x14ac:dyDescent="0.25">
      <c r="A336" s="6">
        <v>11</v>
      </c>
      <c r="B336" s="6">
        <v>25</v>
      </c>
      <c r="C336" s="41">
        <f>SollAZ!N66</f>
        <v>45621</v>
      </c>
      <c r="D336" s="53">
        <v>335</v>
      </c>
      <c r="E336" s="54">
        <f>SollAZ!O66</f>
        <v>8.4</v>
      </c>
    </row>
    <row r="337" spans="1:5" x14ac:dyDescent="0.25">
      <c r="A337" s="6">
        <v>11</v>
      </c>
      <c r="B337" s="6">
        <v>26</v>
      </c>
      <c r="C337" s="41">
        <f>SollAZ!N67</f>
        <v>45622</v>
      </c>
      <c r="D337" s="53">
        <v>336</v>
      </c>
      <c r="E337" s="54">
        <f>SollAZ!O67</f>
        <v>8.4</v>
      </c>
    </row>
    <row r="338" spans="1:5" x14ac:dyDescent="0.25">
      <c r="A338" s="6">
        <v>11</v>
      </c>
      <c r="B338" s="6">
        <v>27</v>
      </c>
      <c r="C338" s="41">
        <f>SollAZ!N68</f>
        <v>45623</v>
      </c>
      <c r="D338" s="53">
        <v>337</v>
      </c>
      <c r="E338" s="54">
        <f>SollAZ!O68</f>
        <v>8.4</v>
      </c>
    </row>
    <row r="339" spans="1:5" x14ac:dyDescent="0.25">
      <c r="A339" s="6">
        <v>11</v>
      </c>
      <c r="B339" s="6">
        <v>28</v>
      </c>
      <c r="C339" s="41">
        <f>SollAZ!N69</f>
        <v>45624</v>
      </c>
      <c r="D339" s="53">
        <v>338</v>
      </c>
      <c r="E339" s="54">
        <f>SollAZ!O69</f>
        <v>8.4</v>
      </c>
    </row>
    <row r="340" spans="1:5" x14ac:dyDescent="0.25">
      <c r="A340" s="6">
        <v>11</v>
      </c>
      <c r="B340" s="6">
        <v>29</v>
      </c>
      <c r="C340" s="41">
        <f>SollAZ!N70</f>
        <v>45625</v>
      </c>
      <c r="D340" s="53">
        <v>339</v>
      </c>
      <c r="E340" s="54">
        <f>SollAZ!O70</f>
        <v>8.4</v>
      </c>
    </row>
    <row r="341" spans="1:5" x14ac:dyDescent="0.25">
      <c r="A341" s="6">
        <v>11</v>
      </c>
      <c r="B341" s="6">
        <v>30</v>
      </c>
      <c r="C341" s="41">
        <f>SollAZ!N71</f>
        <v>45626</v>
      </c>
      <c r="D341" s="53">
        <v>340</v>
      </c>
      <c r="E341" s="54" t="str">
        <f>SollAZ!O71</f>
        <v/>
      </c>
    </row>
    <row r="342" spans="1:5" x14ac:dyDescent="0.25">
      <c r="A342" s="6">
        <v>11</v>
      </c>
      <c r="B342" s="6">
        <v>31</v>
      </c>
      <c r="C342" s="41" t="str">
        <f>SollAZ!N72</f>
        <v/>
      </c>
      <c r="D342" s="53">
        <v>341</v>
      </c>
      <c r="E342" s="54" t="str">
        <f>SollAZ!O72</f>
        <v/>
      </c>
    </row>
    <row r="343" spans="1:5" x14ac:dyDescent="0.25">
      <c r="A343" s="6">
        <v>12</v>
      </c>
      <c r="B343" s="6">
        <v>1</v>
      </c>
      <c r="C343" s="41">
        <f>SollAZ!Q42</f>
        <v>45627</v>
      </c>
      <c r="D343" s="53">
        <v>342</v>
      </c>
      <c r="E343" s="54" t="str">
        <f>SollAZ!R42</f>
        <v/>
      </c>
    </row>
    <row r="344" spans="1:5" x14ac:dyDescent="0.25">
      <c r="A344" s="6">
        <v>12</v>
      </c>
      <c r="B344" s="6">
        <v>2</v>
      </c>
      <c r="C344" s="41">
        <f>SollAZ!Q43</f>
        <v>45628</v>
      </c>
      <c r="D344" s="53">
        <v>343</v>
      </c>
      <c r="E344" s="54">
        <f>SollAZ!R43</f>
        <v>8.4</v>
      </c>
    </row>
    <row r="345" spans="1:5" x14ac:dyDescent="0.25">
      <c r="A345" s="6">
        <v>12</v>
      </c>
      <c r="B345" s="6">
        <v>3</v>
      </c>
      <c r="C345" s="41">
        <f>SollAZ!Q44</f>
        <v>45629</v>
      </c>
      <c r="D345" s="53">
        <v>344</v>
      </c>
      <c r="E345" s="54">
        <f>SollAZ!R44</f>
        <v>8.4</v>
      </c>
    </row>
    <row r="346" spans="1:5" x14ac:dyDescent="0.25">
      <c r="A346" s="6">
        <v>12</v>
      </c>
      <c r="B346" s="6">
        <v>4</v>
      </c>
      <c r="C346" s="41">
        <f>SollAZ!Q45</f>
        <v>45630</v>
      </c>
      <c r="D346" s="53">
        <v>345</v>
      </c>
      <c r="E346" s="54">
        <f>SollAZ!R45</f>
        <v>8.4</v>
      </c>
    </row>
    <row r="347" spans="1:5" x14ac:dyDescent="0.25">
      <c r="A347" s="6">
        <v>12</v>
      </c>
      <c r="B347" s="6">
        <v>5</v>
      </c>
      <c r="C347" s="41">
        <f>SollAZ!Q46</f>
        <v>45631</v>
      </c>
      <c r="D347" s="53">
        <v>346</v>
      </c>
      <c r="E347" s="54">
        <f>SollAZ!R46</f>
        <v>8.4</v>
      </c>
    </row>
    <row r="348" spans="1:5" x14ac:dyDescent="0.25">
      <c r="A348" s="6">
        <v>12</v>
      </c>
      <c r="B348" s="6">
        <v>6</v>
      </c>
      <c r="C348" s="41">
        <f>SollAZ!Q47</f>
        <v>45632</v>
      </c>
      <c r="D348" s="53">
        <v>347</v>
      </c>
      <c r="E348" s="54">
        <f>SollAZ!R47</f>
        <v>8.4</v>
      </c>
    </row>
    <row r="349" spans="1:5" x14ac:dyDescent="0.25">
      <c r="A349" s="6">
        <v>12</v>
      </c>
      <c r="B349" s="6">
        <v>7</v>
      </c>
      <c r="C349" s="41">
        <f>SollAZ!Q48</f>
        <v>45633</v>
      </c>
      <c r="D349" s="53">
        <v>348</v>
      </c>
      <c r="E349" s="54" t="str">
        <f>SollAZ!R48</f>
        <v/>
      </c>
    </row>
    <row r="350" spans="1:5" x14ac:dyDescent="0.25">
      <c r="A350" s="6">
        <v>12</v>
      </c>
      <c r="B350" s="6">
        <v>8</v>
      </c>
      <c r="C350" s="41">
        <f>SollAZ!Q49</f>
        <v>45634</v>
      </c>
      <c r="D350" s="53">
        <v>349</v>
      </c>
      <c r="E350" s="54" t="str">
        <f>SollAZ!R49</f>
        <v/>
      </c>
    </row>
    <row r="351" spans="1:5" x14ac:dyDescent="0.25">
      <c r="A351" s="6">
        <v>12</v>
      </c>
      <c r="B351" s="6">
        <v>9</v>
      </c>
      <c r="C351" s="41">
        <f>SollAZ!Q50</f>
        <v>45635</v>
      </c>
      <c r="D351" s="53">
        <v>350</v>
      </c>
      <c r="E351" s="54">
        <f>SollAZ!R50</f>
        <v>8.4</v>
      </c>
    </row>
    <row r="352" spans="1:5" x14ac:dyDescent="0.25">
      <c r="A352" s="6">
        <v>12</v>
      </c>
      <c r="B352" s="6">
        <v>10</v>
      </c>
      <c r="C352" s="41">
        <f>SollAZ!Q51</f>
        <v>45636</v>
      </c>
      <c r="D352" s="53">
        <v>351</v>
      </c>
      <c r="E352" s="54">
        <f>SollAZ!R51</f>
        <v>8.4</v>
      </c>
    </row>
    <row r="353" spans="1:5" x14ac:dyDescent="0.25">
      <c r="A353" s="6">
        <v>12</v>
      </c>
      <c r="B353" s="6">
        <v>11</v>
      </c>
      <c r="C353" s="41">
        <f>SollAZ!Q52</f>
        <v>45637</v>
      </c>
      <c r="D353" s="53">
        <v>352</v>
      </c>
      <c r="E353" s="54">
        <f>SollAZ!R52</f>
        <v>8.4</v>
      </c>
    </row>
    <row r="354" spans="1:5" x14ac:dyDescent="0.25">
      <c r="A354" s="6">
        <v>12</v>
      </c>
      <c r="B354" s="6">
        <v>12</v>
      </c>
      <c r="C354" s="41">
        <f>SollAZ!Q53</f>
        <v>45638</v>
      </c>
      <c r="D354" s="53">
        <v>353</v>
      </c>
      <c r="E354" s="54">
        <f>SollAZ!R53</f>
        <v>8.4</v>
      </c>
    </row>
    <row r="355" spans="1:5" x14ac:dyDescent="0.25">
      <c r="A355" s="6">
        <v>12</v>
      </c>
      <c r="B355" s="6">
        <v>13</v>
      </c>
      <c r="C355" s="41">
        <f>SollAZ!Q54</f>
        <v>45639</v>
      </c>
      <c r="D355" s="53">
        <v>354</v>
      </c>
      <c r="E355" s="54">
        <f>SollAZ!R54</f>
        <v>8.4</v>
      </c>
    </row>
    <row r="356" spans="1:5" x14ac:dyDescent="0.25">
      <c r="A356" s="6">
        <v>12</v>
      </c>
      <c r="B356" s="6">
        <v>14</v>
      </c>
      <c r="C356" s="41">
        <f>SollAZ!Q55</f>
        <v>45640</v>
      </c>
      <c r="D356" s="53">
        <v>355</v>
      </c>
      <c r="E356" s="54" t="str">
        <f>SollAZ!R55</f>
        <v/>
      </c>
    </row>
    <row r="357" spans="1:5" x14ac:dyDescent="0.25">
      <c r="A357" s="6">
        <v>12</v>
      </c>
      <c r="B357" s="6">
        <v>15</v>
      </c>
      <c r="C357" s="41">
        <f>SollAZ!Q56</f>
        <v>45641</v>
      </c>
      <c r="D357" s="53">
        <v>356</v>
      </c>
      <c r="E357" s="54" t="str">
        <f>SollAZ!R56</f>
        <v/>
      </c>
    </row>
    <row r="358" spans="1:5" x14ac:dyDescent="0.25">
      <c r="A358" s="6">
        <v>12</v>
      </c>
      <c r="B358" s="6">
        <v>16</v>
      </c>
      <c r="C358" s="41">
        <f>SollAZ!Q57</f>
        <v>45642</v>
      </c>
      <c r="D358" s="53">
        <v>357</v>
      </c>
      <c r="E358" s="54">
        <f>SollAZ!R57</f>
        <v>8.4</v>
      </c>
    </row>
    <row r="359" spans="1:5" x14ac:dyDescent="0.25">
      <c r="A359" s="6">
        <v>12</v>
      </c>
      <c r="B359" s="6">
        <v>17</v>
      </c>
      <c r="C359" s="41">
        <f>SollAZ!Q58</f>
        <v>45643</v>
      </c>
      <c r="D359" s="53">
        <v>358</v>
      </c>
      <c r="E359" s="54">
        <f>SollAZ!R58</f>
        <v>8.4</v>
      </c>
    </row>
    <row r="360" spans="1:5" x14ac:dyDescent="0.25">
      <c r="A360" s="6">
        <v>12</v>
      </c>
      <c r="B360" s="6">
        <v>18</v>
      </c>
      <c r="C360" s="41">
        <f>SollAZ!Q59</f>
        <v>45644</v>
      </c>
      <c r="D360" s="53">
        <v>359</v>
      </c>
      <c r="E360" s="54">
        <f>SollAZ!R59</f>
        <v>8.4</v>
      </c>
    </row>
    <row r="361" spans="1:5" x14ac:dyDescent="0.25">
      <c r="A361" s="6">
        <v>12</v>
      </c>
      <c r="B361" s="6">
        <v>19</v>
      </c>
      <c r="C361" s="41">
        <f>SollAZ!Q60</f>
        <v>45645</v>
      </c>
      <c r="D361" s="53">
        <v>360</v>
      </c>
      <c r="E361" s="54">
        <f>SollAZ!R60</f>
        <v>8.4</v>
      </c>
    </row>
    <row r="362" spans="1:5" x14ac:dyDescent="0.25">
      <c r="A362" s="6">
        <v>12</v>
      </c>
      <c r="B362" s="6">
        <v>20</v>
      </c>
      <c r="C362" s="41">
        <f>SollAZ!Q61</f>
        <v>45646</v>
      </c>
      <c r="D362" s="53">
        <v>361</v>
      </c>
      <c r="E362" s="54">
        <f>SollAZ!R61</f>
        <v>8.4</v>
      </c>
    </row>
    <row r="363" spans="1:5" x14ac:dyDescent="0.25">
      <c r="A363" s="6">
        <v>12</v>
      </c>
      <c r="B363" s="6">
        <v>21</v>
      </c>
      <c r="C363" s="41">
        <f>SollAZ!Q62</f>
        <v>45647</v>
      </c>
      <c r="D363" s="53">
        <v>362</v>
      </c>
      <c r="E363" s="54" t="str">
        <f>SollAZ!R62</f>
        <v/>
      </c>
    </row>
    <row r="364" spans="1:5" x14ac:dyDescent="0.25">
      <c r="A364" s="6">
        <v>12</v>
      </c>
      <c r="B364" s="6">
        <v>22</v>
      </c>
      <c r="C364" s="41">
        <f>SollAZ!Q63</f>
        <v>45648</v>
      </c>
      <c r="D364" s="53">
        <v>363</v>
      </c>
      <c r="E364" s="54" t="str">
        <f>SollAZ!R63</f>
        <v/>
      </c>
    </row>
    <row r="365" spans="1:5" x14ac:dyDescent="0.25">
      <c r="A365" s="6">
        <v>12</v>
      </c>
      <c r="B365" s="6">
        <v>23</v>
      </c>
      <c r="C365" s="41">
        <f>SollAZ!Q64</f>
        <v>45649</v>
      </c>
      <c r="D365" s="53">
        <v>364</v>
      </c>
      <c r="E365" s="54">
        <f>SollAZ!R64</f>
        <v>8.4</v>
      </c>
    </row>
    <row r="366" spans="1:5" x14ac:dyDescent="0.25">
      <c r="A366" s="6">
        <v>12</v>
      </c>
      <c r="B366" s="6">
        <v>24</v>
      </c>
      <c r="C366" s="41">
        <f>SollAZ!Q65</f>
        <v>45650</v>
      </c>
      <c r="D366" s="53">
        <v>365</v>
      </c>
      <c r="E366" s="54">
        <f>SollAZ!R65</f>
        <v>4.2</v>
      </c>
    </row>
    <row r="367" spans="1:5" x14ac:dyDescent="0.25">
      <c r="A367" s="6">
        <v>12</v>
      </c>
      <c r="B367" s="6">
        <v>25</v>
      </c>
      <c r="C367" s="41">
        <f>SollAZ!Q66</f>
        <v>45651</v>
      </c>
      <c r="D367" s="53">
        <v>366</v>
      </c>
      <c r="E367" s="54" t="str">
        <f>SollAZ!R66</f>
        <v>Weihnachtst.</v>
      </c>
    </row>
    <row r="368" spans="1:5" x14ac:dyDescent="0.25">
      <c r="A368" s="6">
        <v>12</v>
      </c>
      <c r="B368" s="6">
        <v>26</v>
      </c>
      <c r="C368" s="41">
        <f>SollAZ!Q67</f>
        <v>45652</v>
      </c>
      <c r="D368" s="53">
        <v>367</v>
      </c>
      <c r="E368" s="54" t="str">
        <f>SollAZ!R67</f>
        <v>Stephanstag</v>
      </c>
    </row>
    <row r="369" spans="1:12" x14ac:dyDescent="0.25">
      <c r="A369" s="6">
        <v>12</v>
      </c>
      <c r="B369" s="6">
        <v>27</v>
      </c>
      <c r="C369" s="41">
        <f>SollAZ!Q68</f>
        <v>45653</v>
      </c>
      <c r="D369" s="53">
        <v>368</v>
      </c>
      <c r="E369" s="54" t="str">
        <f>SollAZ!R68</f>
        <v>Art. 60 Abs. 1 PersV</v>
      </c>
    </row>
    <row r="370" spans="1:12" x14ac:dyDescent="0.25">
      <c r="A370" s="6">
        <v>12</v>
      </c>
      <c r="B370" s="6">
        <v>28</v>
      </c>
      <c r="C370" s="41">
        <f>SollAZ!Q69</f>
        <v>45654</v>
      </c>
      <c r="D370" s="53">
        <v>369</v>
      </c>
      <c r="E370" s="54" t="str">
        <f>SollAZ!R69</f>
        <v/>
      </c>
    </row>
    <row r="371" spans="1:12" x14ac:dyDescent="0.25">
      <c r="A371" s="6">
        <v>12</v>
      </c>
      <c r="B371" s="6">
        <v>29</v>
      </c>
      <c r="C371" s="41">
        <f>SollAZ!Q70</f>
        <v>45655</v>
      </c>
      <c r="D371" s="53">
        <v>370</v>
      </c>
      <c r="E371" s="54" t="str">
        <f>SollAZ!R70</f>
        <v/>
      </c>
    </row>
    <row r="372" spans="1:12" x14ac:dyDescent="0.25">
      <c r="A372" s="6">
        <v>12</v>
      </c>
      <c r="B372" s="6">
        <v>30</v>
      </c>
      <c r="C372" s="41">
        <f>SollAZ!Q71</f>
        <v>45656</v>
      </c>
      <c r="D372" s="53">
        <v>371</v>
      </c>
      <c r="E372" s="54">
        <f>SollAZ!R71</f>
        <v>8.4</v>
      </c>
    </row>
    <row r="373" spans="1:12" x14ac:dyDescent="0.25">
      <c r="A373" s="6">
        <v>12</v>
      </c>
      <c r="B373" s="6">
        <v>31</v>
      </c>
      <c r="C373" s="41">
        <f>SollAZ!Q72</f>
        <v>45657</v>
      </c>
      <c r="D373" s="53">
        <v>372</v>
      </c>
      <c r="E373" s="54">
        <f>SollAZ!R72</f>
        <v>4.2</v>
      </c>
    </row>
    <row r="374" spans="1:12" x14ac:dyDescent="0.25">
      <c r="L374" s="5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Berechnung</vt:lpstr>
      <vt:lpstr>Anleitung_Hinweise</vt:lpstr>
      <vt:lpstr>SollAZ</vt:lpstr>
      <vt:lpstr>FAnspr</vt:lpstr>
      <vt:lpstr>Calc</vt:lpstr>
      <vt:lpstr>SollAZ!Akt_Jahr</vt:lpstr>
      <vt:lpstr>AnfangJahr</vt:lpstr>
      <vt:lpstr>SollAZ!Druckbereich</vt:lpstr>
      <vt:lpstr>SollAZ!Drucktitel</vt:lpstr>
      <vt:lpstr>EndeJahr</vt:lpstr>
      <vt:lpstr>SollAZ!Festtage</vt:lpstr>
      <vt:lpstr>SollAZ!Spez_Std</vt:lpstr>
      <vt:lpstr>SollAZ!Spez_Tg</vt:lpstr>
      <vt:lpstr>W_Std</vt:lpstr>
      <vt:lpstr>SollAZ!W_Std_42</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Nick</dc:creator>
  <cp:lastModifiedBy>Staub Barbara FD-PA-HR-SuS</cp:lastModifiedBy>
  <cp:lastPrinted>2020-12-16T16:34:43Z</cp:lastPrinted>
  <dcterms:created xsi:type="dcterms:W3CDTF">2012-03-05T09:35:08Z</dcterms:created>
  <dcterms:modified xsi:type="dcterms:W3CDTF">2024-01-23T12:56:50Z</dcterms:modified>
</cp:coreProperties>
</file>